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hidePivotFieldList="1" defaultThemeVersion="124226"/>
  <mc:AlternateContent xmlns:mc="http://schemas.openxmlformats.org/markup-compatibility/2006">
    <mc:Choice Requires="x15">
      <x15ac:absPath xmlns:x15ac="http://schemas.microsoft.com/office/spreadsheetml/2010/11/ac" url="C:\Users\EDUARDO HERNANDEZ\OneDrive\Documentos\SECRETARIA DE PLANEACION MPAL\2025\4. MAPA DE RIESGOS\1. MONITOREO RIESGO GEST-CORRUPCION\1. BIM (EN-FEB-25)\5. GEST CONTRAACTUAL\"/>
    </mc:Choice>
  </mc:AlternateContent>
  <xr:revisionPtr revIDLastSave="0" documentId="13_ncr:1_{D49D3399-135C-4378-9A6E-48A6514F7ECC}" xr6:coauthVersionLast="47" xr6:coauthVersionMax="47" xr10:uidLastSave="{00000000-0000-0000-0000-000000000000}"/>
  <bookViews>
    <workbookView xWindow="-108" yWindow="-108" windowWidth="23256" windowHeight="12456" activeTab="4" xr2:uid="{00000000-000D-0000-FFFF-FFFF00000000}"/>
  </bookViews>
  <sheets>
    <sheet name="Intructivo" sheetId="20" r:id="rId1"/>
    <sheet name="Contexto" sheetId="21" r:id="rId2"/>
    <sheet name="Priorizacion de Causas" sheetId="22" r:id="rId3"/>
    <sheet name="DOFA" sheetId="23" r:id="rId4"/>
    <sheet name="Mapa final" sheetId="1" r:id="rId5"/>
    <sheet name="Matriz Calor Inherente" sheetId="18" r:id="rId6"/>
    <sheet name="Matriz Calor Residual" sheetId="19" r:id="rId7"/>
    <sheet name="Tabla probabilidad" sheetId="12" r:id="rId8"/>
    <sheet name="Tabla Impacto" sheetId="13" r:id="rId9"/>
    <sheet name="Tabla Valoración controles" sheetId="15" r:id="rId10"/>
    <sheet name="Hoja2" sheetId="24" r:id="rId11"/>
    <sheet name="Hoja3" sheetId="25" r:id="rId12"/>
    <sheet name="Opciones Tratamiento" sheetId="16" state="hidden" r:id="rId13"/>
    <sheet name="Hoja1" sheetId="11" state="hidden" r:id="rId14"/>
  </sheets>
  <externalReferences>
    <externalReference r:id="rId15"/>
    <externalReference r:id="rId16"/>
    <externalReference r:id="rId17"/>
    <externalReference r:id="rId18"/>
    <externalReference r:id="rId19"/>
  </externalReferences>
  <calcPr calcId="191029"/>
  <pivotCaches>
    <pivotCache cacheId="12" r:id="rId2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0" i="1" l="1"/>
  <c r="F22" i="23" l="1"/>
  <c r="F21" i="23"/>
  <c r="F20" i="23"/>
  <c r="F19" i="23"/>
  <c r="F18" i="23"/>
  <c r="F17" i="23"/>
  <c r="F16" i="23"/>
  <c r="F15" i="23"/>
  <c r="F14" i="23"/>
  <c r="F13" i="23"/>
  <c r="F12" i="23"/>
  <c r="F11" i="23"/>
  <c r="S12" i="22"/>
  <c r="S13" i="22"/>
  <c r="S14" i="22"/>
  <c r="S15" i="22"/>
  <c r="S16" i="22"/>
  <c r="S17" i="22"/>
  <c r="S18" i="22"/>
  <c r="S19" i="22"/>
  <c r="S20" i="22"/>
  <c r="S21" i="22"/>
  <c r="S22" i="22"/>
  <c r="S23" i="22"/>
  <c r="S24" i="22"/>
  <c r="S25" i="22"/>
  <c r="S26" i="22"/>
  <c r="S27" i="22"/>
  <c r="S28" i="22"/>
  <c r="S29" i="22"/>
  <c r="S30" i="22"/>
  <c r="S31" i="22"/>
  <c r="S32" i="22"/>
  <c r="S33" i="22"/>
  <c r="S34" i="22"/>
  <c r="S35" i="22"/>
  <c r="S36" i="22"/>
  <c r="R12" i="22"/>
  <c r="R13" i="22"/>
  <c r="R14" i="22"/>
  <c r="R15" i="22"/>
  <c r="R16" i="22"/>
  <c r="R17" i="22"/>
  <c r="R18" i="22"/>
  <c r="R19" i="22"/>
  <c r="R20" i="22"/>
  <c r="R21" i="22"/>
  <c r="R22" i="22"/>
  <c r="R23" i="22"/>
  <c r="R24" i="22"/>
  <c r="R25" i="22"/>
  <c r="R26" i="22"/>
  <c r="R27" i="22"/>
  <c r="R28" i="22"/>
  <c r="R29" i="22"/>
  <c r="R30" i="22"/>
  <c r="R31" i="22"/>
  <c r="R32" i="22"/>
  <c r="R33" i="22"/>
  <c r="R34" i="22"/>
  <c r="R35" i="22"/>
  <c r="R36" i="22"/>
  <c r="S11" i="22"/>
  <c r="R11" i="22"/>
  <c r="S42" i="22" l="1"/>
  <c r="S41" i="22"/>
  <c r="A6" i="23"/>
  <c r="W57" i="1" l="1"/>
  <c r="T57" i="1"/>
  <c r="W56" i="1"/>
  <c r="T56" i="1"/>
  <c r="W55" i="1"/>
  <c r="T55" i="1"/>
  <c r="W54" i="1"/>
  <c r="T54" i="1"/>
  <c r="W53" i="1"/>
  <c r="T53" i="1"/>
  <c r="W52" i="1"/>
  <c r="T52" i="1"/>
  <c r="W51" i="1"/>
  <c r="T51" i="1"/>
  <c r="W50" i="1"/>
  <c r="T50" i="1"/>
  <c r="W49" i="1"/>
  <c r="T49" i="1"/>
  <c r="W48" i="1"/>
  <c r="T48" i="1"/>
  <c r="W47" i="1"/>
  <c r="T47" i="1"/>
  <c r="W46" i="1"/>
  <c r="T46" i="1"/>
  <c r="AE47" i="1" s="1"/>
  <c r="AD47" i="1" s="1"/>
  <c r="W45" i="1"/>
  <c r="T45" i="1"/>
  <c r="W44" i="1"/>
  <c r="T44" i="1"/>
  <c r="W43" i="1"/>
  <c r="T43" i="1"/>
  <c r="W42" i="1"/>
  <c r="T42" i="1"/>
  <c r="AE43" i="1" s="1"/>
  <c r="AD43" i="1" s="1"/>
  <c r="W41" i="1"/>
  <c r="T41" i="1"/>
  <c r="W40" i="1"/>
  <c r="T40" i="1"/>
  <c r="W39" i="1"/>
  <c r="T39" i="1"/>
  <c r="W38" i="1"/>
  <c r="T38" i="1"/>
  <c r="AE39" i="1" s="1"/>
  <c r="AD39" i="1" s="1"/>
  <c r="W37" i="1"/>
  <c r="T37" i="1"/>
  <c r="W36" i="1"/>
  <c r="T36" i="1"/>
  <c r="W35" i="1"/>
  <c r="T35" i="1"/>
  <c r="W34" i="1"/>
  <c r="T34" i="1"/>
  <c r="AE35" i="1" s="1"/>
  <c r="AD35" i="1" s="1"/>
  <c r="W33" i="1"/>
  <c r="T33" i="1"/>
  <c r="W32" i="1"/>
  <c r="T32" i="1"/>
  <c r="W31" i="1"/>
  <c r="T31" i="1"/>
  <c r="W30" i="1"/>
  <c r="T30" i="1"/>
  <c r="AE31" i="1" s="1"/>
  <c r="AD31" i="1" s="1"/>
  <c r="W29" i="1"/>
  <c r="T29" i="1"/>
  <c r="W28" i="1"/>
  <c r="T28" i="1"/>
  <c r="W27" i="1"/>
  <c r="T27" i="1"/>
  <c r="W26" i="1"/>
  <c r="T26" i="1"/>
  <c r="AE27" i="1" s="1"/>
  <c r="AD27" i="1" s="1"/>
  <c r="W25" i="1"/>
  <c r="T25" i="1"/>
  <c r="W24" i="1"/>
  <c r="T24" i="1"/>
  <c r="W23" i="1"/>
  <c r="T23" i="1"/>
  <c r="W22" i="1"/>
  <c r="T22" i="1"/>
  <c r="AE23" i="1" s="1"/>
  <c r="AD23" i="1" s="1"/>
  <c r="W21" i="1"/>
  <c r="T21" i="1"/>
  <c r="W20" i="1"/>
  <c r="T20" i="1"/>
  <c r="W19" i="1"/>
  <c r="T19" i="1"/>
  <c r="W18" i="1"/>
  <c r="T18" i="1"/>
  <c r="AE19" i="1" s="1"/>
  <c r="AD19" i="1" s="1"/>
  <c r="W17" i="1"/>
  <c r="T17" i="1"/>
  <c r="W16" i="1"/>
  <c r="T16" i="1"/>
  <c r="W15" i="1"/>
  <c r="T15" i="1"/>
  <c r="W14" i="1"/>
  <c r="T14" i="1"/>
  <c r="W13" i="1"/>
  <c r="T13" i="1"/>
  <c r="W12" i="1"/>
  <c r="T12" i="1"/>
  <c r="AE20" i="1" l="1"/>
  <c r="AD20" i="1" s="1"/>
  <c r="AE24" i="1"/>
  <c r="AD24" i="1" s="1"/>
  <c r="AE32" i="1"/>
  <c r="AD32" i="1" s="1"/>
  <c r="AE36" i="1"/>
  <c r="AD36" i="1" s="1"/>
  <c r="AE18" i="1"/>
  <c r="AD18" i="1" s="1"/>
  <c r="AE26" i="1"/>
  <c r="AD26" i="1" s="1"/>
  <c r="AE30" i="1"/>
  <c r="AD30" i="1" s="1"/>
  <c r="AE38" i="1"/>
  <c r="AD38" i="1" s="1"/>
  <c r="AE42" i="1"/>
  <c r="AD42" i="1" s="1"/>
  <c r="AE50" i="1"/>
  <c r="AD50" i="1" s="1"/>
  <c r="AE55" i="1"/>
  <c r="AD55" i="1" s="1"/>
  <c r="AE54" i="1"/>
  <c r="AD54" i="1" s="1"/>
  <c r="AE51" i="1"/>
  <c r="AD51" i="1" s="1"/>
  <c r="AE44" i="1"/>
  <c r="AD44" i="1" s="1"/>
  <c r="AE48" i="1"/>
  <c r="AD48" i="1" s="1"/>
  <c r="AE56" i="1"/>
  <c r="AD56" i="1" s="1"/>
  <c r="AE17" i="1"/>
  <c r="AD17" i="1" s="1"/>
  <c r="AE21" i="1"/>
  <c r="AD21" i="1" s="1"/>
  <c r="AE25" i="1"/>
  <c r="AD25" i="1" s="1"/>
  <c r="AE29" i="1"/>
  <c r="AD29" i="1" s="1"/>
  <c r="AE33" i="1"/>
  <c r="AD33" i="1" s="1"/>
  <c r="AE37" i="1"/>
  <c r="AD37" i="1" s="1"/>
  <c r="AE41" i="1"/>
  <c r="AD41" i="1" s="1"/>
  <c r="AE45" i="1"/>
  <c r="AD45" i="1" s="1"/>
  <c r="AE49" i="1"/>
  <c r="AD49" i="1" s="1"/>
  <c r="AE53" i="1"/>
  <c r="AD53" i="1" s="1"/>
  <c r="AE57" i="1"/>
  <c r="AD57" i="1" s="1"/>
  <c r="AA52" i="1"/>
  <c r="AA54" i="1"/>
  <c r="AA56" i="1"/>
  <c r="AE52" i="1"/>
  <c r="AD52" i="1" s="1"/>
  <c r="AA53" i="1"/>
  <c r="AA55" i="1"/>
  <c r="AA57" i="1"/>
  <c r="AA46" i="1"/>
  <c r="AA48" i="1"/>
  <c r="AA50" i="1"/>
  <c r="AE46" i="1"/>
  <c r="AD46" i="1" s="1"/>
  <c r="AA47" i="1"/>
  <c r="AA49" i="1"/>
  <c r="AA51" i="1"/>
  <c r="AA40" i="1"/>
  <c r="AA42" i="1"/>
  <c r="AA44" i="1"/>
  <c r="AE40" i="1"/>
  <c r="AD40" i="1" s="1"/>
  <c r="AA41" i="1"/>
  <c r="AA43" i="1"/>
  <c r="AA45" i="1"/>
  <c r="AA34" i="1"/>
  <c r="AA36" i="1"/>
  <c r="AA38" i="1"/>
  <c r="AE34" i="1"/>
  <c r="AD34" i="1" s="1"/>
  <c r="AA35" i="1"/>
  <c r="AA37" i="1"/>
  <c r="AA39" i="1"/>
  <c r="AA28" i="1"/>
  <c r="AA30" i="1"/>
  <c r="AA32" i="1"/>
  <c r="AE28" i="1"/>
  <c r="AD28" i="1" s="1"/>
  <c r="AA29" i="1"/>
  <c r="AA31" i="1"/>
  <c r="AA33" i="1"/>
  <c r="AA22" i="1"/>
  <c r="AA24" i="1"/>
  <c r="AA26" i="1"/>
  <c r="AE22" i="1"/>
  <c r="AD22" i="1" s="1"/>
  <c r="AA23" i="1"/>
  <c r="AA25" i="1"/>
  <c r="AA27" i="1"/>
  <c r="AA16" i="1"/>
  <c r="AA18" i="1"/>
  <c r="AA20" i="1"/>
  <c r="AE16" i="1"/>
  <c r="AD16" i="1" s="1"/>
  <c r="AA17" i="1"/>
  <c r="AA19" i="1"/>
  <c r="AA21" i="1"/>
  <c r="AC57" i="1" l="1"/>
  <c r="AB57" i="1"/>
  <c r="AF57" i="1" s="1"/>
  <c r="AC55" i="1"/>
  <c r="AB55" i="1"/>
  <c r="AF55" i="1" s="1"/>
  <c r="AC53" i="1"/>
  <c r="AB53" i="1"/>
  <c r="AF53" i="1" s="1"/>
  <c r="AC56" i="1"/>
  <c r="AB56" i="1"/>
  <c r="AF56" i="1" s="1"/>
  <c r="AC54" i="1"/>
  <c r="AB54" i="1"/>
  <c r="AF54" i="1" s="1"/>
  <c r="AC52" i="1"/>
  <c r="AB52" i="1"/>
  <c r="AF52" i="1" s="1"/>
  <c r="AC51" i="1"/>
  <c r="AB51" i="1"/>
  <c r="AF51" i="1" s="1"/>
  <c r="AC49" i="1"/>
  <c r="AB49" i="1"/>
  <c r="AF49" i="1" s="1"/>
  <c r="AC47" i="1"/>
  <c r="AB47" i="1"/>
  <c r="AF47" i="1" s="1"/>
  <c r="AC50" i="1"/>
  <c r="AB50" i="1"/>
  <c r="AF50" i="1" s="1"/>
  <c r="AC48" i="1"/>
  <c r="AB48" i="1"/>
  <c r="AF48" i="1" s="1"/>
  <c r="AC46" i="1"/>
  <c r="AB46" i="1"/>
  <c r="AF46" i="1" s="1"/>
  <c r="AC45" i="1"/>
  <c r="AB45" i="1"/>
  <c r="AF45" i="1" s="1"/>
  <c r="AC43" i="1"/>
  <c r="AB43" i="1"/>
  <c r="AF43" i="1" s="1"/>
  <c r="AC41" i="1"/>
  <c r="AB41" i="1"/>
  <c r="AF41" i="1" s="1"/>
  <c r="AC44" i="1"/>
  <c r="AB44" i="1"/>
  <c r="AF44" i="1" s="1"/>
  <c r="AC42" i="1"/>
  <c r="AB42" i="1"/>
  <c r="AF42" i="1" s="1"/>
  <c r="AC40" i="1"/>
  <c r="AB40" i="1"/>
  <c r="AF40" i="1" s="1"/>
  <c r="AC39" i="1"/>
  <c r="AB39" i="1"/>
  <c r="AF39" i="1" s="1"/>
  <c r="AC37" i="1"/>
  <c r="AB37" i="1"/>
  <c r="AF37" i="1" s="1"/>
  <c r="AC35" i="1"/>
  <c r="AB35" i="1"/>
  <c r="AF35" i="1" s="1"/>
  <c r="AC38" i="1"/>
  <c r="AB38" i="1"/>
  <c r="AF38" i="1" s="1"/>
  <c r="AC36" i="1"/>
  <c r="AB36" i="1"/>
  <c r="AF36" i="1" s="1"/>
  <c r="AC34" i="1"/>
  <c r="AB34" i="1"/>
  <c r="AF34" i="1" s="1"/>
  <c r="AC33" i="1"/>
  <c r="AB33" i="1"/>
  <c r="AF33" i="1" s="1"/>
  <c r="AC31" i="1"/>
  <c r="AB31" i="1"/>
  <c r="AF31" i="1" s="1"/>
  <c r="AC29" i="1"/>
  <c r="AB29" i="1"/>
  <c r="AF29" i="1" s="1"/>
  <c r="AC32" i="1"/>
  <c r="AB32" i="1"/>
  <c r="AF32" i="1" s="1"/>
  <c r="AC30" i="1"/>
  <c r="AB30" i="1"/>
  <c r="AF30" i="1" s="1"/>
  <c r="AC28" i="1"/>
  <c r="AB28" i="1"/>
  <c r="AF28" i="1" s="1"/>
  <c r="AC27" i="1"/>
  <c r="AB27" i="1"/>
  <c r="AF27" i="1" s="1"/>
  <c r="AC25" i="1"/>
  <c r="AB25" i="1"/>
  <c r="AF25" i="1" s="1"/>
  <c r="AC23" i="1"/>
  <c r="AB23" i="1"/>
  <c r="AF23" i="1" s="1"/>
  <c r="AB26" i="1"/>
  <c r="AF26" i="1" s="1"/>
  <c r="AC26" i="1"/>
  <c r="AB24" i="1"/>
  <c r="AF24" i="1" s="1"/>
  <c r="AC24" i="1"/>
  <c r="AC22" i="1"/>
  <c r="AB22" i="1"/>
  <c r="AF22" i="1" s="1"/>
  <c r="AC21" i="1"/>
  <c r="AB21" i="1"/>
  <c r="AF21" i="1" s="1"/>
  <c r="AC19" i="1"/>
  <c r="AB19" i="1"/>
  <c r="AF19" i="1" s="1"/>
  <c r="AC17" i="1"/>
  <c r="AB17" i="1"/>
  <c r="AF17" i="1" s="1"/>
  <c r="AC20" i="1"/>
  <c r="AB20" i="1"/>
  <c r="AF20" i="1" s="1"/>
  <c r="AC18" i="1"/>
  <c r="AB18" i="1"/>
  <c r="AF18" i="1" s="1"/>
  <c r="AC16" i="1"/>
  <c r="AB16" i="1"/>
  <c r="AF16" i="1" s="1"/>
  <c r="K10" i="1" l="1"/>
  <c r="K14" i="1"/>
  <c r="L14" i="1" s="1"/>
  <c r="AA14" i="1" s="1"/>
  <c r="K16" i="1"/>
  <c r="K22" i="1"/>
  <c r="L22" i="1" s="1"/>
  <c r="K28" i="1"/>
  <c r="L28" i="1" s="1"/>
  <c r="K34" i="1"/>
  <c r="L34" i="1" s="1"/>
  <c r="K40" i="1"/>
  <c r="L40" i="1" s="1"/>
  <c r="K46" i="1"/>
  <c r="L46" i="1" s="1"/>
  <c r="K52" i="1"/>
  <c r="L52" i="1" s="1"/>
  <c r="W11" i="1"/>
  <c r="N39" i="1"/>
  <c r="N33" i="1"/>
  <c r="N21" i="1"/>
  <c r="N26" i="1"/>
  <c r="N31" i="1"/>
  <c r="N25" i="1"/>
  <c r="N48" i="1"/>
  <c r="N24" i="1"/>
  <c r="N37" i="1"/>
  <c r="N45" i="1"/>
  <c r="N49" i="1"/>
  <c r="N42" i="1"/>
  <c r="N41" i="1"/>
  <c r="N51" i="1"/>
  <c r="N23" i="1"/>
  <c r="N56" i="1"/>
  <c r="N32" i="1"/>
  <c r="N36" i="1"/>
  <c r="N53" i="1"/>
  <c r="N54" i="1"/>
  <c r="N17" i="1"/>
  <c r="N50" i="1"/>
  <c r="N29" i="1"/>
  <c r="N19" i="1"/>
  <c r="N20" i="1"/>
  <c r="N44" i="1"/>
  <c r="N57" i="1"/>
  <c r="N35" i="1"/>
  <c r="N47" i="1"/>
  <c r="N15" i="1"/>
  <c r="N55" i="1"/>
  <c r="N30" i="1"/>
  <c r="N27" i="1"/>
  <c r="N43" i="1"/>
  <c r="N18" i="1"/>
  <c r="N38" i="1"/>
  <c r="AC14" i="1" l="1"/>
  <c r="AA15" i="1" s="1"/>
  <c r="AB14" i="1"/>
  <c r="L16" i="1"/>
  <c r="AC15" i="1" l="1"/>
  <c r="AB15" i="1"/>
  <c r="T11" i="1"/>
  <c r="F217" i="13"/>
  <c r="W10" i="1" l="1"/>
  <c r="L10" i="1" l="1"/>
  <c r="AA10" i="1" s="1"/>
  <c r="N13" i="1"/>
  <c r="F221" i="13" l="1"/>
  <c r="F211" i="13"/>
  <c r="F212" i="13"/>
  <c r="F213" i="13"/>
  <c r="F214" i="13"/>
  <c r="F215" i="13"/>
  <c r="F216" i="13"/>
  <c r="F218" i="13"/>
  <c r="F219" i="13"/>
  <c r="F220" i="13"/>
  <c r="F210" i="13"/>
  <c r="B221" i="13" a="1"/>
  <c r="N11" i="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K12" i="1" l="1"/>
  <c r="L12" i="1" l="1"/>
  <c r="AA12" i="1" s="1"/>
  <c r="AC12" i="1" l="1"/>
  <c r="AA13" i="1" s="1"/>
  <c r="AB12"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13" i="1" l="1"/>
  <c r="AB13" i="1"/>
  <c r="AB10" i="1"/>
  <c r="AC10" i="1" l="1"/>
  <c r="AA11" i="1" s="1"/>
  <c r="AC11" i="1" l="1"/>
  <c r="AB11" i="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K35" i="19" l="1"/>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N14" i="1" l="1"/>
  <c r="O14" i="1" s="1"/>
  <c r="N16" i="1"/>
  <c r="O16" i="1" s="1"/>
  <c r="N22" i="1"/>
  <c r="O22" i="1" s="1"/>
  <c r="N28" i="1"/>
  <c r="O28" i="1" s="1"/>
  <c r="N34" i="1"/>
  <c r="O34" i="1" s="1"/>
  <c r="N40" i="1"/>
  <c r="O40" i="1" s="1"/>
  <c r="N46" i="1"/>
  <c r="O46" i="1" s="1"/>
  <c r="N52" i="1"/>
  <c r="O52" i="1" s="1"/>
  <c r="N12" i="1"/>
  <c r="O12" i="1" s="1"/>
  <c r="N10" i="1"/>
  <c r="O10" i="1" s="1"/>
  <c r="P38" i="18" l="1"/>
  <c r="J6" i="18"/>
  <c r="V6" i="18"/>
  <c r="J22" i="18"/>
  <c r="V22" i="18"/>
  <c r="AH6" i="18"/>
  <c r="P22" i="18"/>
  <c r="AH22" i="18"/>
  <c r="P6" i="18"/>
  <c r="P10" i="1"/>
  <c r="AE10" i="1" s="1"/>
  <c r="AE11" i="1" s="1"/>
  <c r="AB38" i="18"/>
  <c r="AB30" i="18"/>
  <c r="V14" i="18"/>
  <c r="P30" i="18"/>
  <c r="V30" i="18"/>
  <c r="AH30" i="18"/>
  <c r="V38" i="18"/>
  <c r="P14" i="18"/>
  <c r="Q10" i="1"/>
  <c r="AH14" i="18"/>
  <c r="J14" i="18"/>
  <c r="AB22" i="18"/>
  <c r="AB14" i="18"/>
  <c r="J30" i="18"/>
  <c r="AB6" i="18"/>
  <c r="J38" i="18"/>
  <c r="AH38" i="18"/>
  <c r="R38" i="18"/>
  <c r="R14" i="18"/>
  <c r="AD14" i="18"/>
  <c r="AJ38" i="18"/>
  <c r="X30" i="18"/>
  <c r="L38" i="18"/>
  <c r="AD6" i="18"/>
  <c r="R6" i="18"/>
  <c r="AJ6" i="18"/>
  <c r="AJ30" i="18"/>
  <c r="Q12" i="1"/>
  <c r="R30" i="18"/>
  <c r="AD38" i="18"/>
  <c r="AD22" i="18"/>
  <c r="P12" i="1"/>
  <c r="AE12" i="1" s="1"/>
  <c r="L30" i="18"/>
  <c r="AJ14" i="18"/>
  <c r="L14" i="18"/>
  <c r="X38" i="18"/>
  <c r="L22" i="18"/>
  <c r="AD30" i="18"/>
  <c r="AJ22" i="18"/>
  <c r="X14" i="18"/>
  <c r="X6" i="18"/>
  <c r="R22" i="18"/>
  <c r="L6" i="18"/>
  <c r="X22" i="18"/>
  <c r="P52" i="1"/>
  <c r="Q52" i="1"/>
  <c r="V36" i="18"/>
  <c r="J12" i="18"/>
  <c r="J28" i="18"/>
  <c r="AH36" i="18"/>
  <c r="J20" i="18"/>
  <c r="AB36" i="18"/>
  <c r="J44" i="18"/>
  <c r="AH12" i="18"/>
  <c r="P12" i="18"/>
  <c r="P28" i="18"/>
  <c r="AB12" i="18"/>
  <c r="AB28" i="18"/>
  <c r="AH20" i="18"/>
  <c r="V44" i="18"/>
  <c r="P36" i="18"/>
  <c r="AH44" i="18"/>
  <c r="V12" i="18"/>
  <c r="V20" i="18"/>
  <c r="V28" i="18"/>
  <c r="AH28" i="18"/>
  <c r="P20" i="18"/>
  <c r="AB20" i="18"/>
  <c r="J36" i="18"/>
  <c r="P44" i="18"/>
  <c r="AB44" i="18"/>
  <c r="P46" i="1"/>
  <c r="Q46" i="1"/>
  <c r="Z42" i="18"/>
  <c r="N18" i="18"/>
  <c r="N42" i="18"/>
  <c r="N10" i="18"/>
  <c r="AF26" i="18"/>
  <c r="AL34" i="18"/>
  <c r="AL10" i="18"/>
  <c r="N26" i="18"/>
  <c r="AL42" i="18"/>
  <c r="AF18" i="18"/>
  <c r="AF10" i="18"/>
  <c r="T10" i="18"/>
  <c r="Z34" i="18"/>
  <c r="N34" i="18"/>
  <c r="AF42" i="18"/>
  <c r="AL18" i="18"/>
  <c r="T34" i="18"/>
  <c r="AL26" i="18"/>
  <c r="T18" i="18"/>
  <c r="T26" i="18"/>
  <c r="Z26" i="18"/>
  <c r="Z18" i="18"/>
  <c r="Z10" i="18"/>
  <c r="T42" i="18"/>
  <c r="AF34" i="18"/>
  <c r="Q40" i="1"/>
  <c r="P40" i="1"/>
  <c r="R18" i="18"/>
  <c r="L18" i="18"/>
  <c r="AD42" i="18"/>
  <c r="R26" i="18"/>
  <c r="R10" i="18"/>
  <c r="L34" i="18"/>
  <c r="X26" i="18"/>
  <c r="R42" i="18"/>
  <c r="X34" i="18"/>
  <c r="L10" i="18"/>
  <c r="AD18" i="18"/>
  <c r="AD34" i="18"/>
  <c r="L42" i="18"/>
  <c r="L26" i="18"/>
  <c r="AJ26" i="18"/>
  <c r="AJ10" i="18"/>
  <c r="AJ34" i="18"/>
  <c r="AJ42" i="18"/>
  <c r="AD26" i="18"/>
  <c r="R34" i="18"/>
  <c r="AJ18" i="18"/>
  <c r="X10" i="18"/>
  <c r="AD10" i="18"/>
  <c r="X42" i="18"/>
  <c r="X18" i="18"/>
  <c r="P34" i="1"/>
  <c r="Q34" i="1"/>
  <c r="AB10" i="18"/>
  <c r="P18" i="18"/>
  <c r="V18" i="18"/>
  <c r="J26" i="18"/>
  <c r="AB42" i="18"/>
  <c r="V10" i="18"/>
  <c r="P34" i="18"/>
  <c r="V42" i="18"/>
  <c r="AB18" i="18"/>
  <c r="P42" i="18"/>
  <c r="V26" i="18"/>
  <c r="AH34" i="18"/>
  <c r="J42" i="18"/>
  <c r="P10" i="18"/>
  <c r="AB26" i="18"/>
  <c r="P26" i="18"/>
  <c r="AH18" i="18"/>
  <c r="J34" i="18"/>
  <c r="J18" i="18"/>
  <c r="V34" i="18"/>
  <c r="AH10" i="18"/>
  <c r="AB34" i="18"/>
  <c r="J10" i="18"/>
  <c r="AH42" i="18"/>
  <c r="AH26" i="18"/>
  <c r="Q28" i="1"/>
  <c r="P28" i="1"/>
  <c r="N40" i="18"/>
  <c r="AF32" i="18"/>
  <c r="AL24" i="18"/>
  <c r="T8" i="18"/>
  <c r="T16" i="18"/>
  <c r="AF40" i="18"/>
  <c r="AL8" i="18"/>
  <c r="Z32" i="18"/>
  <c r="AL40" i="18"/>
  <c r="Z8" i="18"/>
  <c r="T32" i="18"/>
  <c r="T24" i="18"/>
  <c r="T40" i="18"/>
  <c r="N16" i="18"/>
  <c r="AF8" i="18"/>
  <c r="Z16" i="18"/>
  <c r="Z40" i="18"/>
  <c r="N24" i="18"/>
  <c r="Z24" i="18"/>
  <c r="AF16" i="18"/>
  <c r="AF24" i="18"/>
  <c r="AL32" i="18"/>
  <c r="AL16" i="18"/>
  <c r="N8" i="18"/>
  <c r="N32" i="18"/>
  <c r="Q22" i="1"/>
  <c r="P22" i="1"/>
  <c r="AJ16" i="18"/>
  <c r="AD8" i="18"/>
  <c r="L32" i="18"/>
  <c r="R40" i="18"/>
  <c r="L40" i="18"/>
  <c r="R16" i="18"/>
  <c r="X32" i="18"/>
  <c r="L24" i="18"/>
  <c r="AD32" i="18"/>
  <c r="AD16" i="18"/>
  <c r="AD40" i="18"/>
  <c r="AJ8" i="18"/>
  <c r="L8" i="18"/>
  <c r="X8" i="18"/>
  <c r="L16" i="18"/>
  <c r="R8" i="18"/>
  <c r="AJ32" i="18"/>
  <c r="X16" i="18"/>
  <c r="R32" i="18"/>
  <c r="X40" i="18"/>
  <c r="AJ40" i="18"/>
  <c r="AD24" i="18"/>
  <c r="X24" i="18"/>
  <c r="AJ24" i="18"/>
  <c r="R24" i="18"/>
  <c r="P16" i="1"/>
  <c r="Q16" i="1"/>
  <c r="P16" i="18"/>
  <c r="V32" i="18"/>
  <c r="V8" i="18"/>
  <c r="AH8" i="18"/>
  <c r="AB32" i="18"/>
  <c r="V24" i="18"/>
  <c r="J8" i="18"/>
  <c r="AB8" i="18"/>
  <c r="J24" i="18"/>
  <c r="P8" i="18"/>
  <c r="V16" i="18"/>
  <c r="AH16" i="18"/>
  <c r="AH40" i="18"/>
  <c r="J32" i="18"/>
  <c r="AB16" i="18"/>
  <c r="AB24" i="18"/>
  <c r="AB40" i="18"/>
  <c r="P24" i="18"/>
  <c r="P32" i="18"/>
  <c r="P40" i="18"/>
  <c r="AH24" i="18"/>
  <c r="J16" i="18"/>
  <c r="V40" i="18"/>
  <c r="J40" i="18"/>
  <c r="AH32" i="18"/>
  <c r="P14" i="1"/>
  <c r="Q14" i="1"/>
  <c r="AL6" i="18"/>
  <c r="N30" i="18"/>
  <c r="T38" i="18"/>
  <c r="Z6" i="18"/>
  <c r="N14" i="18"/>
  <c r="AF6" i="18"/>
  <c r="AL22" i="18"/>
  <c r="T14" i="18"/>
  <c r="N22" i="18"/>
  <c r="T22" i="18"/>
  <c r="AF38" i="18"/>
  <c r="N6" i="18"/>
  <c r="T6" i="18"/>
  <c r="AF30" i="18"/>
  <c r="AL30" i="18"/>
  <c r="Z22" i="18"/>
  <c r="Z14" i="18"/>
  <c r="Z30" i="18"/>
  <c r="AL38" i="18"/>
  <c r="AF14" i="18"/>
  <c r="AL14" i="18"/>
  <c r="AF22" i="18"/>
  <c r="T30" i="18"/>
  <c r="N38" i="18"/>
  <c r="Z38" i="18"/>
  <c r="AE15" i="1" l="1"/>
  <c r="AD15" i="1" s="1"/>
  <c r="AE14" i="1"/>
  <c r="AD14" i="1" s="1"/>
  <c r="AD12" i="1"/>
  <c r="AF12" i="1" s="1"/>
  <c r="AE13" i="1"/>
  <c r="AD13" i="1" s="1"/>
  <c r="AF13" i="1" s="1"/>
  <c r="AD10" i="1"/>
  <c r="P36" i="19" s="1"/>
  <c r="V7" i="19"/>
  <c r="AH37" i="19"/>
  <c r="P27" i="19"/>
  <c r="AB7" i="19"/>
  <c r="AB47" i="19"/>
  <c r="P17" i="19"/>
  <c r="V17" i="19"/>
  <c r="J47" i="19"/>
  <c r="AH47" i="19"/>
  <c r="V47" i="19"/>
  <c r="V27" i="19"/>
  <c r="P37" i="19"/>
  <c r="AH7" i="19"/>
  <c r="AB17" i="19"/>
  <c r="P47" i="19"/>
  <c r="J7" i="19"/>
  <c r="AB27" i="19"/>
  <c r="V37" i="19"/>
  <c r="J17" i="19"/>
  <c r="AH17" i="19"/>
  <c r="P7" i="19"/>
  <c r="J37" i="19"/>
  <c r="AH27" i="19"/>
  <c r="AB37" i="19"/>
  <c r="J27" i="19"/>
  <c r="AH36" i="19"/>
  <c r="V36" i="19"/>
  <c r="P6" i="19"/>
  <c r="AB36" i="19"/>
  <c r="AH16" i="19"/>
  <c r="P16" i="19"/>
  <c r="AH6" i="19"/>
  <c r="V46" i="19"/>
  <c r="AB46" i="19"/>
  <c r="J6" i="19"/>
  <c r="AB26" i="19"/>
  <c r="AB16" i="19"/>
  <c r="J16" i="19"/>
  <c r="V26" i="19"/>
  <c r="P26" i="19"/>
  <c r="V16" i="19"/>
  <c r="AF10" i="1"/>
  <c r="AB6" i="19"/>
  <c r="J36" i="19"/>
  <c r="J26" i="19"/>
  <c r="J46" i="19"/>
  <c r="P46" i="19"/>
  <c r="AH46" i="19"/>
  <c r="AH26" i="19"/>
  <c r="AF14" i="1" l="1"/>
  <c r="J28" i="19"/>
  <c r="AB8" i="19"/>
  <c r="J18" i="19"/>
  <c r="J38" i="19"/>
  <c r="P38" i="19"/>
  <c r="AB48" i="19"/>
  <c r="V38" i="19"/>
  <c r="V48" i="19"/>
  <c r="AH18" i="19"/>
  <c r="AH38" i="19"/>
  <c r="J8" i="19"/>
  <c r="V8" i="19"/>
  <c r="V18" i="19"/>
  <c r="P8" i="19"/>
  <c r="J48" i="19"/>
  <c r="P28" i="19"/>
  <c r="P48" i="19"/>
  <c r="AH8" i="19"/>
  <c r="AH28" i="19"/>
  <c r="AH48" i="19"/>
  <c r="V28" i="19"/>
  <c r="AB38" i="19"/>
  <c r="AB18" i="19"/>
  <c r="P18" i="19"/>
  <c r="AB28" i="19"/>
  <c r="AF15" i="1"/>
  <c r="AC18" i="19"/>
  <c r="AI8" i="19"/>
  <c r="Q28" i="19"/>
  <c r="AI48" i="19"/>
  <c r="AC48" i="19"/>
  <c r="W28" i="19"/>
  <c r="Q8" i="19"/>
  <c r="AI18" i="19"/>
  <c r="W38" i="19"/>
  <c r="W48" i="19"/>
  <c r="AI28" i="19"/>
  <c r="K18" i="19"/>
  <c r="K8" i="19"/>
  <c r="AC8" i="19"/>
  <c r="Q48" i="19"/>
  <c r="Q38" i="19"/>
  <c r="K28" i="19"/>
  <c r="W8" i="19"/>
  <c r="K38" i="19"/>
  <c r="K48" i="19"/>
  <c r="Q18" i="19"/>
  <c r="AI38" i="19"/>
  <c r="AC28" i="19"/>
  <c r="W18" i="19"/>
  <c r="AC38" i="19"/>
  <c r="V6" i="19"/>
  <c r="AD11" i="1"/>
  <c r="W37" i="19" l="1"/>
  <c r="AC7" i="19"/>
  <c r="AI7" i="19"/>
  <c r="W47" i="19"/>
  <c r="W17" i="19"/>
  <c r="Q37" i="19"/>
  <c r="W27" i="19"/>
  <c r="AI27" i="19"/>
  <c r="Q47" i="19"/>
  <c r="Q7" i="19"/>
  <c r="W7" i="19"/>
  <c r="K27" i="19"/>
  <c r="AI17" i="19"/>
  <c r="K17" i="19"/>
  <c r="K47" i="19"/>
  <c r="K7" i="19"/>
  <c r="AI47" i="19"/>
  <c r="Q17" i="19"/>
  <c r="Q27" i="19"/>
  <c r="K37" i="19"/>
  <c r="AC27" i="19"/>
  <c r="AC47" i="19"/>
  <c r="AC37" i="19"/>
  <c r="AI37" i="19"/>
  <c r="AC17" i="19"/>
  <c r="AF11" i="1"/>
  <c r="K36" i="19"/>
  <c r="K6" i="19"/>
  <c r="AI6" i="19"/>
  <c r="Q36" i="19"/>
  <c r="W26" i="19"/>
  <c r="W46" i="19"/>
  <c r="AI36" i="19"/>
  <c r="AC6" i="19"/>
  <c r="AC26" i="19"/>
  <c r="W36" i="19"/>
  <c r="K16" i="19"/>
  <c r="K46" i="19"/>
  <c r="AC46" i="19"/>
  <c r="Q46" i="19"/>
  <c r="AC16" i="19"/>
  <c r="W16" i="19"/>
  <c r="Q26" i="19"/>
  <c r="Q6" i="19"/>
  <c r="Q16" i="19"/>
  <c r="AI16" i="19"/>
  <c r="W6" i="19"/>
  <c r="K26" i="19"/>
  <c r="AI26" i="19"/>
  <c r="AC36" i="19"/>
  <c r="AI46" i="19"/>
  <c r="AJ7" i="19" l="1"/>
  <c r="L47" i="19"/>
  <c r="AJ37" i="19"/>
  <c r="R37" i="19"/>
  <c r="L27" i="19"/>
  <c r="AD7" i="19"/>
  <c r="AD17" i="19"/>
  <c r="X37" i="19"/>
  <c r="L37" i="19"/>
  <c r="R47" i="19"/>
  <c r="R17" i="19"/>
  <c r="AD37" i="19"/>
  <c r="AJ17" i="19"/>
  <c r="X7" i="19"/>
  <c r="AJ47" i="19"/>
  <c r="X47" i="19"/>
  <c r="L7" i="19"/>
  <c r="L17" i="19"/>
  <c r="AD27" i="19"/>
  <c r="R27" i="19"/>
  <c r="X27" i="19"/>
  <c r="AD47" i="19"/>
  <c r="R7" i="19"/>
  <c r="AJ27" i="19"/>
  <c r="X17" i="19"/>
  <c r="AJ46" i="19"/>
  <c r="X46" i="19"/>
  <c r="AD46" i="19"/>
  <c r="X26" i="19"/>
  <c r="AD26" i="19"/>
  <c r="L36" i="19"/>
  <c r="AJ36" i="19"/>
  <c r="X16" i="19"/>
  <c r="R26" i="19"/>
  <c r="R46" i="19"/>
  <c r="AJ26" i="19"/>
  <c r="AD6" i="19"/>
  <c r="L46" i="19"/>
  <c r="L6" i="19"/>
  <c r="X6" i="19"/>
  <c r="L26" i="19"/>
  <c r="L16" i="19"/>
  <c r="R36" i="19"/>
  <c r="R16" i="19"/>
  <c r="AD16" i="19"/>
  <c r="X36" i="19"/>
  <c r="AJ16" i="19"/>
  <c r="R6" i="19"/>
  <c r="AJ6" i="19"/>
  <c r="AD36" i="19"/>
  <c r="M47" i="19" l="1"/>
  <c r="AE47" i="19"/>
  <c r="Y17" i="19"/>
  <c r="AK17" i="19"/>
  <c r="AE7" i="19"/>
  <c r="S27" i="19"/>
  <c r="M27" i="19"/>
  <c r="S37" i="19"/>
  <c r="S47" i="19"/>
  <c r="AE27" i="19"/>
  <c r="M7" i="19"/>
  <c r="Y47" i="19"/>
  <c r="M37" i="19"/>
  <c r="S7" i="19"/>
  <c r="S17" i="19"/>
  <c r="Y27" i="19"/>
  <c r="M17" i="19"/>
  <c r="AK7" i="19"/>
  <c r="AE17" i="19"/>
  <c r="AK47" i="19"/>
  <c r="AK27" i="19"/>
  <c r="AK37" i="19"/>
  <c r="Y7" i="19"/>
  <c r="Y37" i="19"/>
  <c r="AE37" i="19"/>
  <c r="S36" i="19"/>
  <c r="Y26" i="19"/>
  <c r="AK46" i="19"/>
  <c r="AE16" i="19"/>
  <c r="AK6" i="19"/>
  <c r="M6" i="19"/>
  <c r="Y36" i="19"/>
  <c r="AK16" i="19"/>
  <c r="S6" i="19"/>
  <c r="M26" i="19"/>
  <c r="AE36" i="19"/>
  <c r="AE6" i="19"/>
  <c r="S46" i="19"/>
  <c r="AE26" i="19"/>
  <c r="M16" i="19"/>
  <c r="Y46" i="19"/>
  <c r="AK26" i="19"/>
  <c r="S16" i="19"/>
  <c r="M36" i="19"/>
  <c r="M46" i="19"/>
  <c r="Y6" i="19"/>
  <c r="AE46" i="19"/>
  <c r="AK36" i="19"/>
  <c r="Y16" i="19"/>
  <c r="S26" i="19"/>
  <c r="O17" i="19" l="1"/>
  <c r="U47" i="19"/>
  <c r="AM7" i="19"/>
  <c r="AG37" i="19"/>
  <c r="AA37" i="19"/>
  <c r="AA27" i="19"/>
  <c r="AA7" i="19"/>
  <c r="AG17" i="19"/>
  <c r="AM37" i="19"/>
  <c r="AG47" i="19"/>
  <c r="O37" i="19"/>
  <c r="AA47" i="19"/>
  <c r="O47" i="19"/>
  <c r="O27" i="19"/>
  <c r="AM17" i="19"/>
  <c r="AG27" i="19"/>
  <c r="U37" i="19"/>
  <c r="AA17" i="19"/>
  <c r="O7" i="19"/>
  <c r="U7" i="19"/>
  <c r="U27" i="19"/>
  <c r="AG7" i="19"/>
  <c r="AM47" i="19"/>
  <c r="AM27" i="19"/>
  <c r="U17" i="19"/>
  <c r="AF27" i="19"/>
  <c r="T47" i="19"/>
  <c r="N17" i="19"/>
  <c r="AF47" i="19"/>
  <c r="N47" i="19"/>
  <c r="AL17" i="19"/>
  <c r="AF7" i="19"/>
  <c r="AL47" i="19"/>
  <c r="AL7" i="19"/>
  <c r="T27" i="19"/>
  <c r="T7" i="19"/>
  <c r="N27" i="19"/>
  <c r="Z37" i="19"/>
  <c r="Z47" i="19"/>
  <c r="T17" i="19"/>
  <c r="T37" i="19"/>
  <c r="AL37" i="19"/>
  <c r="Z17" i="19"/>
  <c r="N37" i="19"/>
  <c r="Z27" i="19"/>
  <c r="AL27" i="19"/>
  <c r="AF17" i="19"/>
  <c r="Z7" i="19"/>
  <c r="AF37" i="19"/>
  <c r="N7" i="19"/>
  <c r="U36" i="19"/>
  <c r="AA26" i="19"/>
  <c r="AG16" i="19"/>
  <c r="AM6" i="19"/>
  <c r="O6" i="19"/>
  <c r="U46" i="19"/>
  <c r="AA36" i="19"/>
  <c r="AG26" i="19"/>
  <c r="AM16" i="19"/>
  <c r="O16" i="19"/>
  <c r="U6" i="19"/>
  <c r="AG36" i="19"/>
  <c r="AG46" i="19"/>
  <c r="O26" i="19"/>
  <c r="AA16" i="19"/>
  <c r="AM36" i="19"/>
  <c r="AA6" i="19"/>
  <c r="AG6" i="19"/>
  <c r="AA46" i="19"/>
  <c r="AM26" i="19"/>
  <c r="U16" i="19"/>
  <c r="O36" i="19"/>
  <c r="U26" i="19"/>
  <c r="AM46" i="19"/>
  <c r="O46" i="19"/>
  <c r="AL6" i="19"/>
  <c r="T36" i="19"/>
  <c r="AF16" i="19"/>
  <c r="AL16" i="19"/>
  <c r="Z36" i="19"/>
  <c r="Z26" i="19"/>
  <c r="AL36" i="19"/>
  <c r="AF46" i="19"/>
  <c r="AL26" i="19"/>
  <c r="AL46" i="19"/>
  <c r="AF26" i="19"/>
  <c r="N6" i="19"/>
  <c r="AF6" i="19"/>
  <c r="Z6" i="19"/>
  <c r="N16" i="19"/>
  <c r="T26" i="19"/>
  <c r="Z46" i="19"/>
  <c r="T16" i="19"/>
  <c r="T46" i="19"/>
  <c r="T6" i="19"/>
  <c r="Z16" i="19"/>
  <c r="AF36" i="19"/>
  <c r="N26" i="19"/>
  <c r="N36" i="19"/>
  <c r="N46"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<sst xmlns="http://schemas.openxmlformats.org/spreadsheetml/2006/main" count="633" uniqueCount="407">
  <si>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</si>
  <si>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</si>
  <si>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</si>
  <si>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</si>
  <si>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</si>
  <si>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</si>
  <si>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</si>
  <si>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</si>
  <si>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</si>
  <si>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</si>
  <si>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</si>
  <si>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</si>
  <si>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</si>
  <si>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</si>
  <si>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</si>
  <si>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</si>
  <si>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</si>
  <si>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</si>
  <si>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</si>
  <si>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</si>
  <si>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</si>
  <si>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</si>
  <si>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</si>
  <si>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</si>
  <si>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</si>
  <si>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</si>
  <si>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</si>
  <si>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</si>
  <si>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</si>
  <si>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</si>
  <si>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</si>
  <si>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</si>
  <si>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</si>
  <si>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</si>
  <si>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</si>
  <si>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</si>
  <si>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</si>
  <si>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</si>
  <si>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</si>
  <si>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</si>
  <si>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</si>
  <si>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</si>
  <si>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</si>
  <si>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</si>
  <si>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</si>
  <si>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</si>
  <si>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</si>
  <si>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</si>
  <si>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</si>
  <si>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</si>
  <si>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</si>
  <si>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</si>
  <si>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</si>
  <si>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</si>
  <si>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</si>
  <si>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</si>
  <si>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</si>
  <si>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</si>
  <si>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</si>
  <si>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</si>
  <si>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</si>
  <si>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</si>
  <si>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</si>
  <si>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</si>
  <si>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</si>
  <si>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</si>
  <si>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</si>
  <si>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</si>
  <si>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</si>
  <si>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</si>
  <si>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</si>
  <si>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</si>
  <si>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</si>
  <si>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</si>
  <si>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</si>
  <si>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</si>
  <si>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</si>
  <si>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</si>
  <si>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</si>
  <si>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</si>
  <si>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</si>
  <si>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</si>
  <si>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</si>
  <si>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</si>
  <si>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</si>
  <si>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</si>
  <si>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</si>
  <si>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</si>
  <si>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</si>
  <si>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</si>
  <si>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</si>
  <si>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</si>
  <si>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</si>
  <si>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</si>
  <si>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</si>
  <si>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</si>
  <si>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</si>
  <si>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</si>
  <si>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</si>
  <si>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</si>
  <si>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</si>
  <si>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</si>
  <si>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</si>
  <si>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</si>
  <si>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</si>
  <si>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</si>
  <si>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</si>
  <si>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</si>
  <si>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</si>
  <si>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</si>
  <si>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</si>
  <si>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</si>
  <si>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</si>
  <si>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</si>
  <si>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</si>
  <si>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</si>
  <si>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</si>
  <si>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</si>
  <si>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</si>
  <si>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</si>
  <si>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</si>
  <si>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</si>
  <si>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</si>
  <si>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</si>
  <si>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</si>
  <si>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</si>
  <si>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</si>
  <si>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</si>
  <si>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</si>
  <si>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</si>
  <si>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</si>
  <si>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</si>
  <si>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</si>
  <si>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</si>
  <si>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</si>
  <si>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</si>
  <si>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</si>
  <si>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</si>
  <si>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</si>
  <si>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</si>
  <si>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</si>
  <si>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</si>
  <si>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</si>
  <si>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</si>
  <si>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</si>
  <si>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</si>
  <si>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</si>
  <si>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</si>
  <si>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</si>
  <si>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</si>
  <si>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</si>
  <si>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</si>
  <si>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</si>
  <si>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</si>
  <si>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</si>
  <si>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</si>
  <si>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</si>
  <si>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</si>
  <si>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</si>
  <si>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</si>
  <si>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</si>
  <si>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</si>
  <si>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</si>
  <si>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</si>
  <si>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</si>
  <si>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</si>
  <si>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</si>
  <si>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</si>
  <si>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</si>
  <si>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</si>
  <si>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</si>
  <si>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</si>
  <si>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</si>
  <si>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</si>
  <si>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</si>
  <si>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</si>
  <si>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</si>
  <si>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</si>
  <si>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</si>
  <si>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</si>
  <si>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</si>
  <si>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</si>
  <si>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</si>
  <si>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</si>
  <si>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</si>
  <si>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</si>
  <si>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</si>
  <si>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</si>
  <si>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</si>
  <si>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</si>
  <si>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</si>
  <si>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</si>
  <si>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</si>
  <si>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</si>
  <si>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</si>
  <si>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</si>
  <si>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</si>
  <si>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</si>
  <si>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</si>
  <si>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</si>
  <si>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</si>
  <si>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</si>
  <si>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</si>
  <si>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</si>
  <si>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</si>
  <si>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</si>
  <si>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</si>
  <si>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</si>
  <si>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</si>
  <si>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</si>
  <si>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</si>
  <si>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</si>
  <si>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</si>
  <si>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</si>
  <si>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xml:space="preserve">     Entre 5000 y 10000 SMLMV</t>
  </si>
  <si>
    <t xml:space="preserve">CONTEXTO ESTRATEGICO </t>
  </si>
  <si>
    <t>FACTORES EXTERNOS</t>
  </si>
  <si>
    <t>CAUSAS</t>
  </si>
  <si>
    <t>FACTORES INTERNOS</t>
  </si>
  <si>
    <t>FACTORES DEL PROCESO</t>
  </si>
  <si>
    <t>SOCIALES Y CULTURALES</t>
  </si>
  <si>
    <t>POLÍTICOS</t>
  </si>
  <si>
    <t>TECNOLÓGICOS</t>
  </si>
  <si>
    <t>AMBIENTALES</t>
  </si>
  <si>
    <t>FORMATO: PRIORIZACION DE CAUSAS (Amenazas y Debilidades)</t>
  </si>
  <si>
    <t>No.</t>
  </si>
  <si>
    <t xml:space="preserve">CAUSAS </t>
  </si>
  <si>
    <t>P1</t>
  </si>
  <si>
    <t>P2</t>
  </si>
  <si>
    <t>P3</t>
  </si>
  <si>
    <t>P4</t>
  </si>
  <si>
    <t>P5</t>
  </si>
  <si>
    <t>P6</t>
  </si>
  <si>
    <t>P7</t>
  </si>
  <si>
    <t>P8</t>
  </si>
  <si>
    <t>P9</t>
  </si>
  <si>
    <t>P10</t>
  </si>
  <si>
    <t>P11</t>
  </si>
  <si>
    <t>P12</t>
  </si>
  <si>
    <t>P13</t>
  </si>
  <si>
    <t>P14</t>
  </si>
  <si>
    <t>P15</t>
  </si>
  <si>
    <t>TOTAL</t>
  </si>
  <si>
    <t>PROMEDIO</t>
  </si>
  <si>
    <t>¿SE PRIORIZA LA CAUSA PARA EL ANÁLISIS DOFA?</t>
  </si>
  <si>
    <t>SUMA TOTAL</t>
  </si>
  <si>
    <t xml:space="preserve">
MATRIZ DOFA
IDENTIFICACION DE FACTORES 
Y
DEFINICION DE ESTRATEGIAS
</t>
  </si>
  <si>
    <t>NEGATIVOS</t>
  </si>
  <si>
    <t>POSITIVOS</t>
  </si>
  <si>
    <t>DEBILIDADES (D)</t>
  </si>
  <si>
    <t>FORTALEZAS (F)</t>
  </si>
  <si>
    <t>OPORTUNIDADES (O)</t>
  </si>
  <si>
    <r>
      <t xml:space="preserve">ESTRATEGIA DO (SUPERVIVENCIA)
</t>
    </r>
    <r>
      <rPr>
        <b/>
        <sz val="11"/>
        <color theme="1"/>
        <rFont val="Arial"/>
        <family val="2"/>
      </rPr>
      <t>consiste en contrarrestar Debilidades por medio de Oportunidades.</t>
    </r>
  </si>
  <si>
    <r>
      <t xml:space="preserve">ESTRATEGIA FO (CRECIMIENTO)
</t>
    </r>
    <r>
      <rPr>
        <b/>
        <sz val="11"/>
        <color theme="1"/>
        <rFont val="Arial"/>
        <family val="2"/>
      </rPr>
      <t>Utilizar fortalezas para optimizar oportunidades.</t>
    </r>
  </si>
  <si>
    <t>AMENAZAS (A)</t>
  </si>
  <si>
    <r>
      <t xml:space="preserve">ESTRATEGIA DA (CONTINGENCIA)
</t>
    </r>
    <r>
      <rPr>
        <b/>
        <sz val="11"/>
        <color theme="1"/>
        <rFont val="Arial"/>
        <family val="2"/>
      </rPr>
      <t>Cuando el riesgo se materialice a partir de la combinación de debilidades
con amenazas, para formular acciones de contingencia.</t>
    </r>
  </si>
  <si>
    <r>
      <t xml:space="preserve">ESTRATEGIA FA (SUPERVIVENCIA)
</t>
    </r>
    <r>
      <rPr>
        <b/>
        <sz val="11"/>
        <color theme="1"/>
        <rFont val="Arial"/>
        <family val="2"/>
      </rPr>
      <t>Utilizar fortalezas para contrarrestar amenazas</t>
    </r>
    <r>
      <rPr>
        <b/>
        <sz val="14"/>
        <color theme="1"/>
        <rFont val="Arial"/>
        <family val="2"/>
      </rPr>
      <t xml:space="preserve">
</t>
    </r>
  </si>
  <si>
    <t>Tipo de Riesgos</t>
  </si>
  <si>
    <r>
      <rPr>
        <b/>
        <sz val="11"/>
        <color theme="1"/>
        <rFont val="Arial"/>
        <family val="2"/>
      </rPr>
      <t>Versión:</t>
    </r>
    <r>
      <rPr>
        <sz val="11"/>
        <color theme="1"/>
        <rFont val="Arial"/>
        <family val="2"/>
      </rPr>
      <t xml:space="preserve"> 01</t>
    </r>
  </si>
  <si>
    <r>
      <rPr>
        <b/>
        <sz val="11"/>
        <color theme="1"/>
        <rFont val="Arial"/>
        <family val="2"/>
      </rPr>
      <t xml:space="preserve">Página: </t>
    </r>
    <r>
      <rPr>
        <sz val="11"/>
        <color theme="1"/>
        <rFont val="Arial"/>
        <family val="2"/>
      </rPr>
      <t xml:space="preserve"> 1 de 1</t>
    </r>
  </si>
  <si>
    <r>
      <rPr>
        <b/>
        <sz val="11"/>
        <color theme="1"/>
        <rFont val="Arial"/>
        <family val="2"/>
      </rPr>
      <t>Código:</t>
    </r>
    <r>
      <rPr>
        <sz val="11"/>
        <color theme="1"/>
        <rFont val="Arial"/>
        <family val="2"/>
      </rPr>
      <t xml:space="preserve">  FOR-029-PRO-SIG-01</t>
    </r>
  </si>
  <si>
    <r>
      <rPr>
        <b/>
        <sz val="11"/>
        <color theme="1"/>
        <rFont val="Arial"/>
        <family val="2"/>
      </rPr>
      <t xml:space="preserve">Fecha:    </t>
    </r>
    <r>
      <rPr>
        <sz val="11"/>
        <color theme="1"/>
        <rFont val="Arial"/>
        <family val="2"/>
      </rPr>
      <t>21/02/2024</t>
    </r>
  </si>
  <si>
    <r>
      <t>FORMATO:</t>
    </r>
    <r>
      <rPr>
        <sz val="11"/>
        <color rgb="FF000000"/>
        <rFont val="Arial"/>
        <family val="2"/>
      </rPr>
      <t xml:space="preserve"> MATRIZ DOFA</t>
    </r>
  </si>
  <si>
    <r>
      <t xml:space="preserve">FORMATO: </t>
    </r>
    <r>
      <rPr>
        <sz val="11"/>
        <color rgb="FF000000"/>
        <rFont val="Arial"/>
        <family val="2"/>
      </rPr>
      <t>CONTEXTO ESTRATEGICO</t>
    </r>
  </si>
  <si>
    <r>
      <rPr>
        <b/>
        <sz val="11"/>
        <color theme="1"/>
        <rFont val="Arial"/>
        <family val="2"/>
      </rPr>
      <t xml:space="preserve">Versión: </t>
    </r>
    <r>
      <rPr>
        <sz val="11"/>
        <color theme="1"/>
        <rFont val="Arial"/>
        <family val="2"/>
      </rPr>
      <t>01</t>
    </r>
  </si>
  <si>
    <r>
      <rPr>
        <b/>
        <sz val="11"/>
        <color theme="1"/>
        <rFont val="Arial"/>
        <family val="2"/>
      </rPr>
      <t xml:space="preserve">Código: </t>
    </r>
    <r>
      <rPr>
        <sz val="11"/>
        <color theme="1"/>
        <rFont val="Arial"/>
        <family val="2"/>
      </rPr>
      <t>FOR-029-PRO-SIG-01</t>
    </r>
  </si>
  <si>
    <r>
      <rPr>
        <b/>
        <sz val="11"/>
        <color theme="1"/>
        <rFont val="Arial"/>
        <family val="2"/>
      </rPr>
      <t xml:space="preserve">Página:  </t>
    </r>
    <r>
      <rPr>
        <sz val="11"/>
        <color theme="1"/>
        <rFont val="Arial"/>
        <family val="2"/>
      </rPr>
      <t>1 de 1</t>
    </r>
  </si>
  <si>
    <r>
      <rPr>
        <b/>
        <sz val="11"/>
        <color theme="1"/>
        <rFont val="Arial"/>
        <family val="2"/>
      </rPr>
      <t>Fecha:</t>
    </r>
    <r>
      <rPr>
        <sz val="11"/>
        <color theme="1"/>
        <rFont val="Arial"/>
        <family val="2"/>
      </rPr>
      <t xml:space="preserve">   21/02/2024</t>
    </r>
  </si>
  <si>
    <r>
      <t xml:space="preserve">Versión: </t>
    </r>
    <r>
      <rPr>
        <sz val="11"/>
        <color rgb="FF000000"/>
        <rFont val="Arial"/>
        <family val="2"/>
      </rPr>
      <t>01</t>
    </r>
  </si>
  <si>
    <r>
      <t xml:space="preserve">Fecha:    </t>
    </r>
    <r>
      <rPr>
        <sz val="11"/>
        <color rgb="FF000000"/>
        <rFont val="Arial"/>
        <family val="2"/>
      </rPr>
      <t>21/02/2024</t>
    </r>
  </si>
  <si>
    <r>
      <t xml:space="preserve">Página:   </t>
    </r>
    <r>
      <rPr>
        <sz val="11"/>
        <color rgb="FF000000"/>
        <rFont val="Arial"/>
        <family val="2"/>
      </rPr>
      <t>1 de 1</t>
    </r>
  </si>
  <si>
    <r>
      <t>Código</t>
    </r>
    <r>
      <rPr>
        <sz val="11"/>
        <color rgb="FF000000"/>
        <rFont val="Arial"/>
        <family val="2"/>
      </rPr>
      <t>: FOR-029-PRO-SIG-01</t>
    </r>
  </si>
  <si>
    <r>
      <t xml:space="preserve">PROCESO: </t>
    </r>
    <r>
      <rPr>
        <sz val="11"/>
        <color rgb="FF000000"/>
        <rFont val="Arial"/>
        <family val="2"/>
      </rPr>
      <t>SISTEMA INTEGRADO DE GESTIÓN Y MIPG</t>
    </r>
  </si>
  <si>
    <t xml:space="preserve">Cambios de Gobierno </t>
  </si>
  <si>
    <t>FINANCIEROS</t>
  </si>
  <si>
    <t xml:space="preserve">Designación de rubro presupuestal   para el funcionamiento de la oficina de contratación. </t>
  </si>
  <si>
    <t>DISEÑO DEL PROCESO</t>
  </si>
  <si>
    <t xml:space="preserve">Desactualización de la caracterización del proceso. </t>
  </si>
  <si>
    <t>LEGALES Y REGLAMENTARIOS</t>
  </si>
  <si>
    <t xml:space="preserve">Constantes cambios normativos </t>
  </si>
  <si>
    <t>PERSONAL DE LA ENTIDAD (Capacidad del personal, políticas de manejo del talento humano, idoneidad)</t>
  </si>
  <si>
    <t xml:space="preserve">1.Personal insuficiente para adelantar las labores de proceso administrativo y contractual. </t>
  </si>
  <si>
    <t>INTERACCIÓN CON LOS PROCESOS</t>
  </si>
  <si>
    <t>Demoras en la recepción de la información contractual por parte de las secretarias ejecutoras.</t>
  </si>
  <si>
    <t>Constante innovación tecnológica.</t>
  </si>
  <si>
    <t xml:space="preserve">Falta de Etica y valores  y de aplicación del código de integridad y buen gobierno. </t>
  </si>
  <si>
    <t>PROCEDIMIENTOS DEL PROCESO</t>
  </si>
  <si>
    <t xml:space="preserve">Desconocimiento de la caracterización, manuales, procedimientos, instructivos, guías, formatos y demas documentos propios del proceso por parte del personal nuevo. </t>
  </si>
  <si>
    <t xml:space="preserve">Fallas en aplicativos para cargue o reporte de información a plataformas Colombia Compra Eficiente (SECOP), Tienda Virtual, entes de control. </t>
  </si>
  <si>
    <t xml:space="preserve">Desconocimiento del estatuto contractual y sus decretos reglamentarios </t>
  </si>
  <si>
    <t>RESPONSABLES DEL PROCESO</t>
  </si>
  <si>
    <t>Falta de compromiso de los líderes de los procesos en la implementación de mejora, asociadas a los planes de mejoramiento</t>
  </si>
  <si>
    <t>posibles situaciones ambientales que puedan presentarsen como: pandemias, amenazas y/o fenomenos naturales Falta de preparación y experiencia en la forma de afrontar este tipo de fenomenos.</t>
  </si>
  <si>
    <t xml:space="preserve">Dificultad en la unificación de criterios para la realización de los procesos contractuales </t>
  </si>
  <si>
    <t>Contratar bienes y servicios no relacionados con la emergencia y justificándose en ella.</t>
  </si>
  <si>
    <t>PROCESOS OPERATIVOS</t>
  </si>
  <si>
    <t>Falta de articulación entre las Secretarías ejecutoras, Secretaría de Planeación  y oficina de Contratación</t>
  </si>
  <si>
    <t>Falta de claridad en la justificación previa de la necesidad para adquisición del bien o servicio contratado.</t>
  </si>
  <si>
    <t>TECNOLOGÍA (integridad de datos, disponibilidad de datos y sistemas, desarrollo, producción, mantenimiento de sistemas de información)</t>
  </si>
  <si>
    <t xml:space="preserve">Equipos tecnológicos obsoletos, Sistemas de Información no integrados. </t>
  </si>
  <si>
    <t xml:space="preserve">Adjudicación de contratos a proveedores que presentan falta de idoneidad, por ausencia de la capacidad financiera, o la experiencia necesaria; para la
ejecución del objeto contractual de forma eficiente y adecuada
</t>
  </si>
  <si>
    <t>ESTRATÉGICOS</t>
  </si>
  <si>
    <t xml:space="preserve">Dificultad de trabajar en equipo </t>
  </si>
  <si>
    <t>Sobrecostos en los contratos de bienes o servicios independiente de posibles distorsiones del mercado</t>
  </si>
  <si>
    <t>FACTORES GEOGRÁFICOS (ubicación, espacio,topografía, clima, recursos naturales, etc.)</t>
  </si>
  <si>
    <t>Unidades administrativas ubicadas en diferentes sitios de la ciudad (Ibagué).</t>
  </si>
  <si>
    <t>COMUNICACIÓN ENTRE LOS PROCESOS</t>
  </si>
  <si>
    <t xml:space="preserve">Omisión en el envío de actos administrativos de declaratoria de urgencia manifiesta y reporte de los  contratos celebrados, para el control jurisdiccional y  la contraloría municipal </t>
  </si>
  <si>
    <t>COMMUNICACIÓN INTERNA</t>
  </si>
  <si>
    <t xml:space="preserve">Dificultad en la comunicación con los  lideres de los demás procesos </t>
  </si>
  <si>
    <t xml:space="preserve">Desconocimiento de los documentos que se deben diligenciar en los procesos de selección   en la etapa precontractual </t>
  </si>
  <si>
    <t>PROCESO: GESTION CONTRACTUAL</t>
  </si>
  <si>
    <t xml:space="preserve">OBJETIVO: CONTRIBUIR ANUALMENTE EN LA GESTION DE ADQUISICION DE BIENES Y SERVICIOS REQUERIDOS EN LA OPERACIÓN DE LOS PROCESOS DE LA ENTIDAD CUMPLIENDO LA NORMATIVIDAD CONTRACTUAL VIGENTE.
</t>
  </si>
  <si>
    <t>Dificultad de trabajar en equipo</t>
  </si>
  <si>
    <t>1) El otorgamiento de certificaciones a la alcaldía de Ibagué bajo las normas ISO 9001, OHSAS 18000, ISO 14001.</t>
  </si>
  <si>
    <r>
      <rPr>
        <b/>
        <sz val="11"/>
        <rFont val="Arial"/>
        <family val="2"/>
      </rPr>
      <t>2) S</t>
    </r>
    <r>
      <rPr>
        <sz val="11"/>
        <rFont val="Arial"/>
        <family val="2"/>
      </rPr>
      <t xml:space="preserve">istemas de información desarrollados e implementados en la entidad que facilitan la unificación de la información (SOFTCON-PISAMI). </t>
    </r>
  </si>
  <si>
    <r>
      <rPr>
        <b/>
        <sz val="11"/>
        <rFont val="Arial"/>
        <family val="2"/>
      </rPr>
      <t xml:space="preserve">3) </t>
    </r>
    <r>
      <rPr>
        <sz val="11"/>
        <rFont val="Arial"/>
        <family val="2"/>
      </rPr>
      <t xml:space="preserve">Capacitación permanente en temas atinentes al proceso. </t>
    </r>
  </si>
  <si>
    <r>
      <rPr>
        <b/>
        <sz val="11"/>
        <rFont val="Arial"/>
        <family val="2"/>
      </rPr>
      <t xml:space="preserve">4) </t>
    </r>
    <r>
      <rPr>
        <sz val="11"/>
        <rFont val="Arial"/>
        <family val="2"/>
      </rPr>
      <t>Empoderamiento por parte del líder del proceso.</t>
    </r>
  </si>
  <si>
    <r>
      <rPr>
        <b/>
        <sz val="11"/>
        <rFont val="Arial"/>
        <family val="2"/>
      </rPr>
      <t>5)</t>
    </r>
    <r>
      <rPr>
        <sz val="11"/>
        <rFont val="Arial"/>
        <family val="2"/>
      </rPr>
      <t xml:space="preserve"> El proceso  tiene su manual, caracterización, instructivos, procedimientos y formatos documentados.</t>
    </r>
  </si>
  <si>
    <r>
      <rPr>
        <b/>
        <sz val="11"/>
        <rFont val="Arial"/>
        <family val="2"/>
      </rPr>
      <t>6)</t>
    </r>
    <r>
      <rPr>
        <sz val="11"/>
        <rFont val="Arial"/>
        <family val="2"/>
      </rPr>
      <t xml:space="preserve"> Apoyo técnico por parte de la secretaría de las TICS para garantizar la cobertura de internet y el buen funcionamiento tecnológico de la oficina (Publicaciones de procesos contractuales en diferentes plataformas).</t>
    </r>
  </si>
  <si>
    <r>
      <rPr>
        <b/>
        <sz val="11"/>
        <rFont val="Arial"/>
        <family val="2"/>
      </rPr>
      <t xml:space="preserve">7) </t>
    </r>
    <r>
      <rPr>
        <sz val="11"/>
        <rFont val="Arial"/>
        <family val="2"/>
      </rPr>
      <t>Reorganización administrativa de la Alcaldía, que brindo talento humano de planta para el apoyo de las actividades del proceso.</t>
    </r>
  </si>
  <si>
    <t xml:space="preserve">8) La política de administración del riesgo esta alineada con el manual para la identificación y cobertura del riesgo en los procesos de contratación. </t>
  </si>
  <si>
    <t>9) Utilización de las guías e instructivos establecidos por Colombia Compra Eficiente.</t>
  </si>
  <si>
    <t/>
  </si>
  <si>
    <t xml:space="preserve">Adjudicación de contratos a proveedores que presentan falta de idoneidad, por ausencia de la capacidad financiera, o la experiencia necesaria; para la ejecución del objeto contractual de forma eficiente y adecuada
</t>
  </si>
  <si>
    <t xml:space="preserve">Omisión en el envío de actos administrativos de declaratoria de urgencia manifiesta y reporte de los contratos celebrados, para el control jurisdiccional y  la contraloría municipal </t>
  </si>
  <si>
    <t>Incumplimiento de las obligaciones por parte del contratista</t>
  </si>
  <si>
    <r>
      <rPr>
        <b/>
        <sz val="11"/>
        <rFont val="Arial"/>
        <family val="2"/>
      </rPr>
      <t>1)</t>
    </r>
    <r>
      <rPr>
        <sz val="11"/>
        <rFont val="Arial"/>
        <family val="2"/>
      </rPr>
      <t xml:space="preserve"> Acceso a la información publicada en paginas web de entidades del orden nacional </t>
    </r>
  </si>
  <si>
    <t xml:space="preserve">O3D3 Realizar una capacitación semestral  para la unificación de criterios en los procesos contractuales, con el personal adscrito a la oficina de contratación. </t>
  </si>
  <si>
    <t>F1O6   Fortalecer todo lo referente al SIGAMI, con el fin de tener continuidad en el proceso.</t>
  </si>
  <si>
    <r>
      <rPr>
        <b/>
        <sz val="11"/>
        <rFont val="Arial"/>
        <family val="2"/>
      </rPr>
      <t xml:space="preserve">2) </t>
    </r>
    <r>
      <rPr>
        <sz val="11"/>
        <rFont val="Arial"/>
        <family val="2"/>
      </rPr>
      <t>Acceso a la herramienta tecnológica SECOP (Colombia compra eficiente) que facilita los procesos de contratación estatal.</t>
    </r>
  </si>
  <si>
    <t>O5D1 Poder realizar una contratación acorde a la  necesidad de la oficina, según la planeación realizada para fortalecer la parte administrativa.</t>
  </si>
  <si>
    <t>F3O3 Capacitar al talento humano adscrito a la oficina de contratación, con el fin de conocer la documentación propia del proceso  para fortalecimiento del mismo.</t>
  </si>
  <si>
    <t>3) Capacitaciones con entidades publicas expertas en el área de contratación</t>
  </si>
  <si>
    <t>O6D11D7 Fortalecer las actividades relacionadas con el SIGAMI en el proceso gestión contractual mediante reuniones periódicas para evaluar el la implementación de los sistemas en el proceso y así aportar a la mejora continua de la administración.</t>
  </si>
  <si>
    <t>F6O2 Trabajar conjuntamente con Colombia Compra y  la secretaria de las TICS, para el manejo adecuado de las plataformas.</t>
  </si>
  <si>
    <t>4) Adquisición de un sistema de información, donde permita trabajar en conjunto y tiempo real los procesos a sacar.</t>
  </si>
  <si>
    <t xml:space="preserve">D2O10 Realizar una capacitación semestral con el equipo de trabajo de la oficina de contratación con el fin de  fortalecer el trabajo en equipo, y los valores institucionales </t>
  </si>
  <si>
    <t>5) Contar con recursos propios de la oficina de contratación.</t>
  </si>
  <si>
    <t xml:space="preserve">D11O2 Realizar una capacitación semestral con los supervisores de contratos y/o convenios, para el fortalecimiento y la toma de conciencia  de la  responsabilidad que les asiste de vigilar la correcta ejecución del objeto contratado  realizando el seguimiento técnico, administrativo, financiero, contable y jurídico .  </t>
  </si>
  <si>
    <t xml:space="preserve">6) Que todos los lideres del proceso se comprometan en un 100%, para que continúe y se cumpla el proceso de certificación </t>
  </si>
  <si>
    <t xml:space="preserve">O3D12 Realizar capacitaciones para la unificación de criterios en los procesos contractuales, con el personal adscrito a la oficina de contratación. </t>
  </si>
  <si>
    <t>7) compromiso de las secretarias ejecutoras al momento de adquirir lo necesario para la emergencia.</t>
  </si>
  <si>
    <t>O3D12 Realizar capacitaciones de los temas contractuales en los términos de emergencia y socializar con comunicaciones internas las actualizaciones normativas</t>
  </si>
  <si>
    <t>8) Normatividad y Directrices para la implementación  de MIPG</t>
  </si>
  <si>
    <t xml:space="preserve">O7D14 Convocar a mesa de trabajo por medios virtuales a las secretarías ejecutoras, a la oficina de jurídica y  oficina de contratación, para  hacer enfasis que en los procesos debe haber claridad de la necesidad y en la identificación del beneficiario. </t>
  </si>
  <si>
    <t>9) Recurso tecnológico necesario para remitir información en línea. (Internet, Correo Electrónico Institucional, Scanner, Computadores)</t>
  </si>
  <si>
    <t>08 D3 Socialización del código  de Integridad y Buen Gobierno</t>
  </si>
  <si>
    <t>10)Capacitación para fortalecer el trabajo en equipo y los valores institucionales</t>
  </si>
  <si>
    <t>O7 D13 Verificar el objeto contractual tenga estrecha relacion entre  la urgencia manifiesta , con lo proferido en la resolución de declaración de la misma</t>
  </si>
  <si>
    <t>11) Cumplimiento de la normatividade vigente y las direrectrices establecidas en el manual de contratación</t>
  </si>
  <si>
    <t xml:space="preserve">O1 D15 Verificar que los proponentes sean empresas formalmente constituidas, y que estén registrados en la Cámara de Comercio </t>
  </si>
  <si>
    <t>12) Cumplimiento de circular No. 00035 del 14/09/2021. Directriz de seguimiento a riesgos contractuales en la etapa de ejecución por parte de los ordenadores del gasto y supervisores de contratos Y/O convenios</t>
  </si>
  <si>
    <t>07 O1 D16 Uso de las plataformas, herramientas y demás instrumentos de la Agencia Nacional de Contratación por parte de las Secretarias Ejecutoras, de tal manera que se garanticen precios del mercado justos y razonables</t>
  </si>
  <si>
    <t>O9 D17 Remitir por correo electrónico a los Entes de Control los documentos requeridos para facilitar el control fiscal</t>
  </si>
  <si>
    <t>011 D03 Estudios previos de procesos de selección aprobados y firmados por el ordenador del gasto y supervisor,  con  el visto bueno del equipo estructurador de la secretaria ejecutora (informe cuatrimestral)</t>
  </si>
  <si>
    <t xml:space="preserve">D11 O11 Desconocimiento de las obligaciones contractuales del supervisor </t>
  </si>
  <si>
    <t>010 D 02 Denunciar actos de corrupción frente a la instancia que corresponda</t>
  </si>
  <si>
    <t>A1D2D4, Evaluar la continuidad del personal de contrato, para garantizar la no interrupción en los procesos en que ha avanzado la oficina.</t>
  </si>
  <si>
    <t>A1F1 Realizar seguimientos periódicos para mantener los estándares de calidad certificados en los diferentes procesos que adelanta la administración Municipal.</t>
  </si>
  <si>
    <t>A2D10D11, Realizar reuniones de comité jurídico de manera periódica, para realizar las vigencias de las normas y analizar los cambios que se van presentando en esta materia. posteriormente fortalecer y actualizar todo el cambio normativo socializando con las secretarias de la administración.</t>
  </si>
  <si>
    <t>A2F3 Institucionalizar los comités jurídicos y fomentar la participación en este proceso por parte de todas las secretarias ejecutoras.</t>
  </si>
  <si>
    <t>A3D7D11 citar a reuniones extraordinaria con los lideres de los procesos y sus equipos de trabajo, para verificar las dificultades en el manejo del secop y demás actividades relacionadas con el proceso .</t>
  </si>
  <si>
    <t>A3F9 Realizar una capacitacion Anual con los delegados de todas la secretarias ejecutoras para fomentar las consulta de los instructivos, manuales y  diferentes procedimientos publicados por el proceso gestión contractual y  por Colombia Compra Eficiente, para  el adecuado manejo de la plataforma SECOP II y agilizar los procesos contractuales.</t>
  </si>
  <si>
    <t xml:space="preserve">Fallas en aplicativos para cargue o reporte de información a plataformas (SECOP) y/o entes de control. </t>
  </si>
  <si>
    <t>A3 D11Envío de comunicación a los ordenadores del gasto que hayan tenido dificultad en el desarrollo del proceso para que elaboren y radiquen el acto administrativo por el cual se da de baja el proceso en la plataforma SECOP</t>
  </si>
  <si>
    <t>Pandemias: Falta de preparación y experiencia en la forma de afrontar las pandemias.</t>
  </si>
  <si>
    <t>A1 D2 Reporte para Inicio de procesos Disciplinarios, penales, Fiscales, administrativo según corresponda</t>
  </si>
  <si>
    <t>GESTION CONTRACTUAL</t>
  </si>
  <si>
    <t>CONTRIBUIR ANUALMENTE EN LA GESTION DE ADQUISICION DE BIENES Y SERVICIOS REQUERIDOS EN LA OPERACIÓN DE LOS PROCESOS DE LA ENTIDAD CUMPLIENDO LA NORMATIVIDAD CONTRACTUAL VIGENTE</t>
  </si>
  <si>
    <t>INICIA CON LA IDENTIFICACION DE LA NECESIDAD DEL BIEN O SERVICIO A CONTRATAR Y FINALIZA CON LA LIQUIDACION DEL PROCESO</t>
  </si>
  <si>
    <t>Sanción del ente de control</t>
  </si>
  <si>
    <t>Incumplmiento de la normatividad vigente Ley 594/2000</t>
  </si>
  <si>
    <t>No allegar de manera oportuna la documentacón de la etapa contractual de los contratos y/o convenios por parte de los supervisores ( informes de ejecución)</t>
  </si>
  <si>
    <t>Desorganización de los archivos de gestión</t>
  </si>
  <si>
    <t>Desconocimiento de los lineamientos del Manual de Contratacón y Supervisión de la Alcaldia Municipal de Ibagué y  la normatividad legal vigente</t>
  </si>
  <si>
    <t>Falta de conocimiento en la elaboración de la etapa precontractual por parte de los estructurados de procesos en las secretarias ejecutoras</t>
  </si>
  <si>
    <t>Sanción Ente de Control</t>
  </si>
  <si>
    <t>Posibilidad de perdida economica y reputacional por sancion del ente de control debido al Incumplimiento de la ley 594 de 2000</t>
  </si>
  <si>
    <t>Gestión</t>
  </si>
  <si>
    <t>Custodia de los expedientes contractuales</t>
  </si>
  <si>
    <t>FISCAL</t>
  </si>
  <si>
    <t xml:space="preserve">Adquisición de Bienes y Servicios </t>
  </si>
  <si>
    <t xml:space="preserve">Incumplimiento en la publicación de la información y documentación  en razón de tiempo y calidad. </t>
  </si>
  <si>
    <t>Falta de Talento Humano</t>
  </si>
  <si>
    <t>Falta de conocimiento en el manejo de las plataformas establecidas para la publicaicón de procesos contractuales.</t>
  </si>
  <si>
    <t xml:space="preserve">Posible pérdida económica y reputacional derivada de sanciones impuestas por el ente de control, debido al desconocimiento y a la inadecuada estructuración de los estudios previos en los procesos contractuales para la adquisición de bienes y servicios   </t>
  </si>
  <si>
    <t>Ejecución y
administración de
procesos</t>
  </si>
  <si>
    <t xml:space="preserve">Posibilidad de afectación economica por sanción de ente de control debido al  Incumplimiento en la publicación oportuna de los procesos contractuales de las plataformas establecidas.   </t>
  </si>
  <si>
    <t>OBJETIVO: CONTRIBUIR ANUALMENTE EN LA GESTION DE ADQUISICION DE BIENES Y SERVICIOS REQUERIDOS EN LA OPERACIÓN DE LOS PROCESOS DE LA ENTIDAD CUMPLIENDO LA NORMATIVIDAD CONTRACTUAL VIGENTE</t>
  </si>
  <si>
    <t xml:space="preserve">PROCESO GESTIÓN CONTRACTUAL </t>
  </si>
  <si>
    <t>Actualización al Manual de Supervisión e Interventoría</t>
  </si>
  <si>
    <t>x</t>
  </si>
  <si>
    <t xml:space="preserve">Jefe de la Oficina de Contratación </t>
  </si>
  <si>
    <t>Periodico</t>
  </si>
  <si>
    <t>1. Enlace SIGAMI y el Jefe de la Oficina de Contratación. 
2,Realizar y socializar Circular semestral para los supervisores reiterando la responsabilidad que rige la contratacion estatal. 
3. Periocidad: Semestral 
4. Se presentará dicha Cicurlar emitida, la cuál será enviada mediante el aplicativo PISAMI.
5. No obstante, si se presentan expedientes contractuales incompletos en su etapa contractual, se solicitará requerir mediante memorando a la ordenación del gasto y Supervisor para allegar la documentación que se requiera.  En caso de tratarse de un expediente extraviado debe procederse a la respectiva denuncia y reconstrucción. 
6.  Como evidencia reposarán los respectivos memorandos o soportes de la reconstrucción.</t>
  </si>
  <si>
    <t xml:space="preserve">1. Líder de Archivo de la Oficina de Contratación. 
2. Revisar semestramente diez (10) expedientes contractuales de manera aleatoria y en los cuales se identifiquen diferentes modalidades de selección. 
3. Periocidad: Semestral.
4. Reposará un acta de reunión con la planilla de asistencia de dicha capacitación. 
5. No obstante, si se presentan expedientes contractuales desorganizados se solicitará al personal de archivo de la Oficina de Contratación la adecuada organización de los expedientes contractuales.
6.  Como evidencia reposarán los expedientes contractuales organizados adecuadamente. 
</t>
  </si>
  <si>
    <t xml:space="preserve">Capacitación en Gestión de Archivo. </t>
  </si>
  <si>
    <t xml:space="preserve">Jefe de la Oficina de Contratación y Grupo de Gestión documental- Recursos Fisicos. </t>
  </si>
  <si>
    <t xml:space="preserve">1. Jefe de la Oficina de Contratación y enlace SIGAMI
2. Realizar una capacitación semestral con el equipo de trabajo de la oficina de contratación con el fin de  unificar criterios en los procesos contractuales ,fortalecer el trabajo en equipo, y los valores institucionales. 
3. Periocidad: Semestral.
4. Reposará un acta de reunión con la planilla de asistencia de dicha capacitación. 
5. Capacitar al personal y realizar el respectivo seguimiento. 
6. Acta de capacitación. </t>
  </si>
  <si>
    <t xml:space="preserve">Actualización al Manual de Contratación y capacitación continua. </t>
  </si>
  <si>
    <t xml:space="preserve">1. Jefe oficina de Contratación y asesor equipo de contratación. 
2. Socializar y capacitar semestralmente con las secretarias ejecutoras los lineamientos e instructivos establecidos conforme a la normativa vigente para la elaboración de estudios previos. 
3.  Periocidad: Semestral.
4. Reposará un acta de reunión con la planilla de asistencia de dicha capacitación. 
5. Capacitar al personal y realizar el respectivo seguimiento. 
6. Acta de capacitación. </t>
  </si>
  <si>
    <t xml:space="preserve">1.Jefe de la Oficina de Contratación. 
2. Contar con el talento humano sufifciente para el adecuado manejo de dichas plataformasy el cual establecido en el Plan Anual de Adquisiciones de la Alcaldía de Ibagué. 
3.  Periocidad: Semestral.
4. Memorando de delegación del personal asignado a dichas plataformas. 
5.Instar a las Secretarias y Oficinas de la necesidad del contar con el talento humano necesario para cumplir con la publicación en las plataformas. 
6. Publicación de la información  dentro de las fechas establecidas por los entes competentes. </t>
  </si>
  <si>
    <t xml:space="preserve">Socialzar en el Consejo de Gobierno la necesidad del talento humano.  </t>
  </si>
  <si>
    <t xml:space="preserve">1.Personal designado para el manejo de las plataformas establecidas.
2. Realizar una capacitacion semestral del correcto manejo de las plataformas.  
3. Periocidad: Semestral.
4. Revision aleatoria de la informacion publicada en las plataformas e instar a las Secretarias y Oficinas mediante memorando a cumplir con el correcto manejo de las mismas.
5. solicitar a las Secretarias y Oficinas la subsanacion de los documentos faltantes o erroneos publicados en las plataformas.
6. Memorandos, circulares y auditorias externas. </t>
  </si>
  <si>
    <t xml:space="preserve">Capacitacion y elaboración de Instructivos del manejo de las plataformas. </t>
  </si>
  <si>
    <t>Jefe de la Oficina de Contratación y entes externos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</si>
</sst>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76"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
      <b/>
      <sz val="11"/>
      <color theme="1"/>
      <name val="Calibri"/>
      <family val="2"/>
      <scheme val="minor"/>
    </font>
    <font>
      <b/>
      <sz val="12"/>
      <color indexed="8"/>
      <name val="Arial"/>
      <family val="2"/>
    </font>
    <font>
      <b/>
      <sz val="11"/>
      <color indexed="8"/>
      <name val="Arial"/>
      <family val="2"/>
    </font>
    <font>
      <sz val="11"/>
      <color theme="1"/>
      <name val="Arial"/>
      <family val="2"/>
    </font>
    <font>
      <b/>
      <sz val="11"/>
      <color indexed="17"/>
      <name val="Arial"/>
      <family val="2"/>
    </font>
    <font>
      <b/>
      <sz val="12"/>
      <color theme="1"/>
      <name val="Arial"/>
      <family val="2"/>
    </font>
    <font>
      <sz val="11"/>
      <color indexed="8"/>
      <name val="Arial"/>
      <family val="2"/>
    </font>
    <font>
      <sz val="11"/>
      <name val="Arial"/>
      <family val="2"/>
    </font>
    <font>
      <sz val="10"/>
      <color theme="1"/>
      <name val="Arial"/>
      <family val="2"/>
    </font>
    <font>
      <b/>
      <sz val="11"/>
      <color theme="1"/>
      <name val="Arial"/>
      <family val="2"/>
    </font>
    <font>
      <b/>
      <sz val="10"/>
      <color theme="1"/>
      <name val="Arial"/>
      <family val="2"/>
    </font>
    <font>
      <b/>
      <sz val="9"/>
      <color theme="1"/>
      <name val="Arial"/>
      <family val="2"/>
    </font>
    <font>
      <b/>
      <sz val="9"/>
      <color theme="1"/>
      <name val="Calibri"/>
      <family val="2"/>
      <scheme val="minor"/>
    </font>
    <font>
      <b/>
      <sz val="20"/>
      <color theme="1"/>
      <name val="Arial"/>
      <family val="2"/>
    </font>
    <font>
      <b/>
      <sz val="14"/>
      <color theme="1"/>
      <name val="Arial"/>
      <family val="2"/>
    </font>
    <font>
      <sz val="11"/>
      <color rgb="FF000000"/>
      <name val="Arial"/>
      <family val="2"/>
    </font>
    <font>
      <sz val="12"/>
      <color rgb="FF000000"/>
      <name val="Arial"/>
      <family val="2"/>
    </font>
    <font>
      <b/>
      <sz val="11"/>
      <name val="Arial"/>
      <family val="2"/>
    </font>
    <font>
      <sz val="11"/>
      <name val="Calibri"/>
      <family val="2"/>
    </font>
  </fonts>
  <fills count="2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9"/>
        <bgColor indexed="64"/>
      </patternFill>
    </fill>
    <fill>
      <patternFill patternType="solid">
        <fgColor theme="0" tint="-4.9989318521683403E-2"/>
        <bgColor indexed="64"/>
      </patternFill>
    </fill>
    <fill>
      <patternFill patternType="solid">
        <fgColor rgb="FFFFA365"/>
        <bgColor indexed="64"/>
      </patternFill>
    </fill>
    <fill>
      <patternFill patternType="solid">
        <fgColor theme="2" tint="-0.249977111117893"/>
        <bgColor indexed="64"/>
      </patternFill>
    </fill>
    <fill>
      <patternFill patternType="solid">
        <fgColor rgb="FFFFD253"/>
        <bgColor indexed="64"/>
      </patternFill>
    </fill>
    <fill>
      <patternFill patternType="solid">
        <fgColor rgb="FF00B0F0"/>
        <bgColor indexed="64"/>
      </patternFill>
    </fill>
    <fill>
      <patternFill patternType="solid">
        <fgColor rgb="FF00BBFE"/>
        <bgColor rgb="FFFFFFFF"/>
      </patternFill>
    </fill>
    <fill>
      <patternFill patternType="solid">
        <fgColor rgb="FF00BBFE"/>
        <bgColor indexed="64"/>
      </patternFill>
    </fill>
    <fill>
      <patternFill patternType="solid">
        <fgColor theme="0"/>
        <bgColor theme="0"/>
      </patternFill>
    </fill>
  </fills>
  <borders count="117">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theme="0"/>
      </left>
      <right/>
      <top/>
      <bottom/>
      <diagonal/>
    </border>
    <border>
      <left style="thin">
        <color indexed="64"/>
      </left>
      <right/>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dashed">
        <color theme="9" tint="-0.249977111117893"/>
      </left>
      <right style="dashed">
        <color theme="9" tint="-0.249977111117893"/>
      </right>
      <top style="dashed">
        <color theme="9" tint="-0.249977111117893"/>
      </top>
      <bottom/>
      <diagonal/>
    </border>
    <border>
      <left style="dashed">
        <color theme="9" tint="-0.249977111117893"/>
      </left>
      <right style="dashed">
        <color theme="9" tint="-0.249977111117893"/>
      </right>
      <top/>
      <bottom/>
      <diagonal/>
    </border>
    <border>
      <left style="dashed">
        <color theme="9" tint="-0.249977111117893"/>
      </left>
      <right style="dashed">
        <color theme="9" tint="-0.249977111117893"/>
      </right>
      <top/>
      <bottom style="dashed">
        <color theme="9" tint="-0.249977111117893"/>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top style="thin">
        <color indexed="64"/>
      </top>
      <bottom style="thin">
        <color rgb="FF000000"/>
      </bottom>
      <diagonal/>
    </border>
    <border>
      <left/>
      <right style="thin">
        <color rgb="FF000000"/>
      </right>
      <top style="thin">
        <color indexed="64"/>
      </top>
      <bottom style="thin">
        <color rgb="FF000000"/>
      </bottom>
      <diagonal/>
    </border>
    <border>
      <left style="dashed">
        <color theme="9" tint="-0.24994659260841701"/>
      </left>
      <right style="dashed">
        <color theme="9" tint="-0.249977111117893"/>
      </right>
      <top style="dashed">
        <color theme="9" tint="-0.24994659260841701"/>
      </top>
      <bottom/>
      <diagonal/>
    </border>
    <border>
      <left style="dashed">
        <color theme="9" tint="-0.24994659260841701"/>
      </left>
      <right style="dashed">
        <color theme="9" tint="-0.249977111117893"/>
      </right>
      <top/>
      <bottom/>
      <diagonal/>
    </border>
  </borders>
  <cellStyleXfs count="5">
    <xf numFmtId="0" fontId="0" fillId="0" borderId="0"/>
    <xf numFmtId="9" fontId="12" fillId="0" borderId="0" applyFont="0" applyFill="0" applyBorder="0" applyAlignment="0" applyProtection="0"/>
    <xf numFmtId="0" fontId="37" fillId="0" borderId="0"/>
    <xf numFmtId="0" fontId="38" fillId="0" borderId="0"/>
    <xf numFmtId="0" fontId="5" fillId="0" borderId="0"/>
  </cellStyleXfs>
  <cellXfs count="633">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7" fillId="0" borderId="0" xfId="0" applyFont="1" applyAlignment="1">
      <alignment horizontal="center" vertical="center" wrapText="1"/>
    </xf>
    <xf numFmtId="0" fontId="8" fillId="6" borderId="0" xfId="0" applyFont="1" applyFill="1" applyAlignment="1">
      <alignment horizontal="center" vertical="center" wrapText="1" readingOrder="1"/>
    </xf>
    <xf numFmtId="0" fontId="9" fillId="5" borderId="11" xfId="0" applyFont="1" applyFill="1" applyBorder="1" applyAlignment="1">
      <alignment horizontal="center" vertical="center" wrapText="1" readingOrder="1"/>
    </xf>
    <xf numFmtId="0" fontId="9" fillId="0" borderId="11" xfId="0" applyFont="1" applyBorder="1" applyAlignment="1">
      <alignment horizontal="justify" vertical="center" wrapText="1" readingOrder="1"/>
    </xf>
    <xf numFmtId="9" fontId="9" fillId="0" borderId="11" xfId="0" applyNumberFormat="1" applyFont="1" applyBorder="1" applyAlignment="1">
      <alignment horizontal="center" vertical="center" wrapText="1" readingOrder="1"/>
    </xf>
    <xf numFmtId="0" fontId="9" fillId="7" borderId="1" xfId="0" applyFont="1" applyFill="1" applyBorder="1" applyAlignment="1">
      <alignment horizontal="center" vertical="center" wrapText="1" readingOrder="1"/>
    </xf>
    <xf numFmtId="0" fontId="9" fillId="0" borderId="1" xfId="0" applyFont="1" applyBorder="1" applyAlignment="1">
      <alignment horizontal="justify" vertical="center" wrapText="1" readingOrder="1"/>
    </xf>
    <xf numFmtId="9" fontId="9" fillId="0" borderId="1" xfId="0" applyNumberFormat="1" applyFont="1" applyBorder="1" applyAlignment="1">
      <alignment horizontal="center" vertical="center" wrapText="1" readingOrder="1"/>
    </xf>
    <xf numFmtId="0" fontId="9" fillId="4" borderId="1" xfId="0" applyFont="1" applyFill="1" applyBorder="1" applyAlignment="1">
      <alignment horizontal="center" vertical="center" wrapText="1" readingOrder="1"/>
    </xf>
    <xf numFmtId="0" fontId="9" fillId="8" borderId="1" xfId="0" applyFont="1" applyFill="1" applyBorder="1" applyAlignment="1">
      <alignment horizontal="center" vertical="center" wrapText="1" readingOrder="1"/>
    </xf>
    <xf numFmtId="0" fontId="10" fillId="9" borderId="1" xfId="0" applyFont="1" applyFill="1" applyBorder="1" applyAlignment="1">
      <alignment horizontal="center" vertical="center" wrapText="1" readingOrder="1"/>
    </xf>
    <xf numFmtId="0" fontId="13" fillId="0" borderId="0" xfId="0" applyFont="1"/>
    <xf numFmtId="0" fontId="11"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17" fillId="11" borderId="12" xfId="0" applyFont="1" applyFill="1" applyBorder="1" applyAlignment="1" applyProtection="1">
      <alignment horizontal="center" vertical="center" wrapText="1" readingOrder="1"/>
      <protection hidden="1"/>
    </xf>
    <xf numFmtId="0" fontId="17" fillId="11" borderId="19" xfId="0" applyFont="1" applyFill="1" applyBorder="1" applyAlignment="1" applyProtection="1">
      <alignment horizontal="center" vertical="center" wrapText="1" readingOrder="1"/>
      <protection hidden="1"/>
    </xf>
    <xf numFmtId="0" fontId="17" fillId="11" borderId="13" xfId="0" applyFont="1" applyFill="1" applyBorder="1" applyAlignment="1" applyProtection="1">
      <alignment horizontal="center" vertical="center" wrapText="1" readingOrder="1"/>
      <protection hidden="1"/>
    </xf>
    <xf numFmtId="0" fontId="17" fillId="12" borderId="12" xfId="0" applyFont="1" applyFill="1" applyBorder="1" applyAlignment="1" applyProtection="1">
      <alignment horizontal="center" wrapText="1" readingOrder="1"/>
      <protection hidden="1"/>
    </xf>
    <xf numFmtId="0" fontId="17" fillId="12" borderId="19" xfId="0" applyFont="1" applyFill="1" applyBorder="1" applyAlignment="1" applyProtection="1">
      <alignment horizontal="center" wrapText="1" readingOrder="1"/>
      <protection hidden="1"/>
    </xf>
    <xf numFmtId="0" fontId="17" fillId="12" borderId="13" xfId="0" applyFont="1" applyFill="1" applyBorder="1" applyAlignment="1" applyProtection="1">
      <alignment horizontal="center" wrapText="1" readingOrder="1"/>
      <protection hidden="1"/>
    </xf>
    <xf numFmtId="0" fontId="17" fillId="11" borderId="14" xfId="0" applyFont="1" applyFill="1" applyBorder="1" applyAlignment="1" applyProtection="1">
      <alignment horizontal="center" vertical="center" wrapText="1" readingOrder="1"/>
      <protection hidden="1"/>
    </xf>
    <xf numFmtId="0" fontId="17" fillId="11" borderId="0" xfId="0" applyFont="1" applyFill="1" applyAlignment="1" applyProtection="1">
      <alignment horizontal="center" vertical="center" wrapText="1" readingOrder="1"/>
      <protection hidden="1"/>
    </xf>
    <xf numFmtId="0" fontId="17" fillId="11" borderId="15" xfId="0" applyFont="1" applyFill="1" applyBorder="1" applyAlignment="1" applyProtection="1">
      <alignment horizontal="center" vertical="center" wrapText="1" readingOrder="1"/>
      <protection hidden="1"/>
    </xf>
    <xf numFmtId="0" fontId="17" fillId="12" borderId="14" xfId="0" applyFont="1" applyFill="1" applyBorder="1" applyAlignment="1" applyProtection="1">
      <alignment horizontal="center" wrapText="1" readingOrder="1"/>
      <protection hidden="1"/>
    </xf>
    <xf numFmtId="0" fontId="17" fillId="12" borderId="0" xfId="0" applyFont="1" applyFill="1" applyAlignment="1" applyProtection="1">
      <alignment horizontal="center" wrapText="1" readingOrder="1"/>
      <protection hidden="1"/>
    </xf>
    <xf numFmtId="0" fontId="17" fillId="12" borderId="15" xfId="0" applyFont="1" applyFill="1" applyBorder="1" applyAlignment="1" applyProtection="1">
      <alignment horizontal="center" wrapText="1" readingOrder="1"/>
      <protection hidden="1"/>
    </xf>
    <xf numFmtId="0" fontId="17" fillId="11" borderId="16" xfId="0" applyFont="1" applyFill="1" applyBorder="1" applyAlignment="1" applyProtection="1">
      <alignment horizontal="center" vertical="center" wrapText="1" readingOrder="1"/>
      <protection hidden="1"/>
    </xf>
    <xf numFmtId="0" fontId="17" fillId="11" borderId="18" xfId="0" applyFont="1" applyFill="1" applyBorder="1" applyAlignment="1" applyProtection="1">
      <alignment horizontal="center" vertical="center" wrapText="1" readingOrder="1"/>
      <protection hidden="1"/>
    </xf>
    <xf numFmtId="0" fontId="17" fillId="11" borderId="17" xfId="0" applyFont="1" applyFill="1" applyBorder="1" applyAlignment="1" applyProtection="1">
      <alignment horizontal="center" vertical="center" wrapText="1" readingOrder="1"/>
      <protection hidden="1"/>
    </xf>
    <xf numFmtId="0" fontId="17" fillId="12" borderId="16" xfId="0" applyFont="1" applyFill="1" applyBorder="1" applyAlignment="1" applyProtection="1">
      <alignment horizontal="center" wrapText="1" readingOrder="1"/>
      <protection hidden="1"/>
    </xf>
    <xf numFmtId="0" fontId="17" fillId="12" borderId="18" xfId="0" applyFont="1" applyFill="1" applyBorder="1" applyAlignment="1" applyProtection="1">
      <alignment horizontal="center" wrapText="1" readingOrder="1"/>
      <protection hidden="1"/>
    </xf>
    <xf numFmtId="0" fontId="17" fillId="12" borderId="17" xfId="0" applyFont="1" applyFill="1" applyBorder="1" applyAlignment="1" applyProtection="1">
      <alignment horizontal="center" wrapText="1" readingOrder="1"/>
      <protection hidden="1"/>
    </xf>
    <xf numFmtId="0" fontId="17" fillId="13" borderId="12" xfId="0" applyFont="1" applyFill="1" applyBorder="1" applyAlignment="1" applyProtection="1">
      <alignment horizontal="center" wrapText="1" readingOrder="1"/>
      <protection hidden="1"/>
    </xf>
    <xf numFmtId="0" fontId="17" fillId="13" borderId="19" xfId="0" applyFont="1" applyFill="1" applyBorder="1" applyAlignment="1" applyProtection="1">
      <alignment horizontal="center" wrapText="1" readingOrder="1"/>
      <protection hidden="1"/>
    </xf>
    <xf numFmtId="0" fontId="17" fillId="13" borderId="13" xfId="0" applyFont="1" applyFill="1" applyBorder="1" applyAlignment="1" applyProtection="1">
      <alignment horizontal="center" wrapText="1" readingOrder="1"/>
      <protection hidden="1"/>
    </xf>
    <xf numFmtId="0" fontId="17" fillId="13" borderId="14" xfId="0" applyFont="1" applyFill="1" applyBorder="1" applyAlignment="1" applyProtection="1">
      <alignment horizontal="center" wrapText="1" readingOrder="1"/>
      <protection hidden="1"/>
    </xf>
    <xf numFmtId="0" fontId="17" fillId="13" borderId="0" xfId="0" applyFont="1" applyFill="1" applyAlignment="1" applyProtection="1">
      <alignment horizontal="center" wrapText="1" readingOrder="1"/>
      <protection hidden="1"/>
    </xf>
    <xf numFmtId="0" fontId="17" fillId="13" borderId="15" xfId="0" applyFont="1" applyFill="1" applyBorder="1" applyAlignment="1" applyProtection="1">
      <alignment horizontal="center" wrapText="1" readingOrder="1"/>
      <protection hidden="1"/>
    </xf>
    <xf numFmtId="0" fontId="17" fillId="13" borderId="16" xfId="0" applyFont="1" applyFill="1" applyBorder="1" applyAlignment="1" applyProtection="1">
      <alignment horizontal="center" wrapText="1" readingOrder="1"/>
      <protection hidden="1"/>
    </xf>
    <xf numFmtId="0" fontId="17" fillId="13" borderId="18" xfId="0" applyFont="1" applyFill="1" applyBorder="1" applyAlignment="1" applyProtection="1">
      <alignment horizontal="center" wrapText="1" readingOrder="1"/>
      <protection hidden="1"/>
    </xf>
    <xf numFmtId="0" fontId="17" fillId="13" borderId="17" xfId="0" applyFont="1" applyFill="1" applyBorder="1" applyAlignment="1" applyProtection="1">
      <alignment horizontal="center" wrapText="1" readingOrder="1"/>
      <protection hidden="1"/>
    </xf>
    <xf numFmtId="0" fontId="17" fillId="5" borderId="12" xfId="0" applyFont="1" applyFill="1" applyBorder="1" applyAlignment="1" applyProtection="1">
      <alignment horizontal="center" wrapText="1" readingOrder="1"/>
      <protection hidden="1"/>
    </xf>
    <xf numFmtId="0" fontId="17" fillId="5" borderId="19" xfId="0" applyFont="1" applyFill="1" applyBorder="1" applyAlignment="1" applyProtection="1">
      <alignment horizontal="center" wrapText="1" readingOrder="1"/>
      <protection hidden="1"/>
    </xf>
    <xf numFmtId="0" fontId="17" fillId="5" borderId="13" xfId="0" applyFont="1" applyFill="1" applyBorder="1" applyAlignment="1" applyProtection="1">
      <alignment horizontal="center" wrapText="1" readingOrder="1"/>
      <protection hidden="1"/>
    </xf>
    <xf numFmtId="0" fontId="17" fillId="5" borderId="14" xfId="0" applyFont="1" applyFill="1" applyBorder="1" applyAlignment="1" applyProtection="1">
      <alignment horizontal="center" wrapText="1" readingOrder="1"/>
      <protection hidden="1"/>
    </xf>
    <xf numFmtId="0" fontId="17" fillId="5" borderId="0" xfId="0" applyFont="1" applyFill="1" applyAlignment="1" applyProtection="1">
      <alignment horizontal="center" wrapText="1" readingOrder="1"/>
      <protection hidden="1"/>
    </xf>
    <xf numFmtId="0" fontId="17" fillId="5" borderId="15" xfId="0" applyFont="1" applyFill="1" applyBorder="1" applyAlignment="1" applyProtection="1">
      <alignment horizontal="center" wrapText="1" readingOrder="1"/>
      <protection hidden="1"/>
    </xf>
    <xf numFmtId="0" fontId="17" fillId="5" borderId="16" xfId="0" applyFont="1" applyFill="1" applyBorder="1" applyAlignment="1" applyProtection="1">
      <alignment horizontal="center" wrapText="1" readingOrder="1"/>
      <protection hidden="1"/>
    </xf>
    <xf numFmtId="0" fontId="17" fillId="5" borderId="18" xfId="0" applyFont="1" applyFill="1" applyBorder="1" applyAlignment="1" applyProtection="1">
      <alignment horizontal="center" wrapText="1" readingOrder="1"/>
      <protection hidden="1"/>
    </xf>
    <xf numFmtId="0" fontId="17" fillId="5" borderId="17"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0" fillId="3" borderId="0" xfId="0" applyFill="1"/>
    <xf numFmtId="0" fontId="39" fillId="3" borderId="51" xfId="2" applyFont="1" applyFill="1" applyBorder="1"/>
    <xf numFmtId="0" fontId="39" fillId="3" borderId="52" xfId="2" applyFont="1" applyFill="1" applyBorder="1"/>
    <xf numFmtId="0" fontId="39" fillId="3" borderId="53" xfId="2" applyFont="1" applyFill="1" applyBorder="1"/>
    <xf numFmtId="0" fontId="14" fillId="3" borderId="0" xfId="0" applyFont="1" applyFill="1" applyAlignment="1">
      <alignment vertical="center"/>
    </xf>
    <xf numFmtId="0" fontId="5" fillId="3" borderId="0" xfId="0" applyFont="1" applyFill="1"/>
    <xf numFmtId="0" fontId="27" fillId="3" borderId="0" xfId="0" applyFont="1" applyFill="1"/>
    <xf numFmtId="0" fontId="28" fillId="3" borderId="34" xfId="0" applyFont="1" applyFill="1" applyBorder="1" applyAlignment="1">
      <alignment horizontal="center" vertical="center" wrapText="1" readingOrder="1"/>
    </xf>
    <xf numFmtId="0" fontId="29" fillId="3" borderId="34" xfId="0" applyFont="1" applyFill="1" applyBorder="1" applyAlignment="1">
      <alignment horizontal="justify" vertical="center" wrapText="1" readingOrder="1"/>
    </xf>
    <xf numFmtId="9" fontId="28" fillId="3" borderId="43" xfId="0" applyNumberFormat="1" applyFont="1" applyFill="1" applyBorder="1" applyAlignment="1">
      <alignment horizontal="center" vertical="center" wrapText="1" readingOrder="1"/>
    </xf>
    <xf numFmtId="0" fontId="28" fillId="3" borderId="33" xfId="0" applyFont="1" applyFill="1" applyBorder="1" applyAlignment="1">
      <alignment horizontal="center" vertical="center" wrapText="1" readingOrder="1"/>
    </xf>
    <xf numFmtId="0" fontId="29" fillId="3" borderId="33" xfId="0" applyFont="1" applyFill="1" applyBorder="1" applyAlignment="1">
      <alignment horizontal="justify" vertical="center" wrapText="1" readingOrder="1"/>
    </xf>
    <xf numFmtId="9" fontId="28" fillId="3" borderId="38" xfId="0" applyNumberFormat="1" applyFont="1" applyFill="1" applyBorder="1" applyAlignment="1">
      <alignment horizontal="center" vertical="center" wrapText="1" readingOrder="1"/>
    </xf>
    <xf numFmtId="0" fontId="29" fillId="3" borderId="38" xfId="0" applyFont="1" applyFill="1" applyBorder="1" applyAlignment="1">
      <alignment horizontal="center" vertical="center" wrapText="1" readingOrder="1"/>
    </xf>
    <xf numFmtId="0" fontId="28" fillId="3" borderId="40" xfId="0" applyFont="1" applyFill="1" applyBorder="1" applyAlignment="1">
      <alignment horizontal="center" vertical="center" wrapText="1" readingOrder="1"/>
    </xf>
    <xf numFmtId="0" fontId="29" fillId="3" borderId="40" xfId="0" applyFont="1" applyFill="1" applyBorder="1" applyAlignment="1">
      <alignment horizontal="justify" vertical="center" wrapText="1" readingOrder="1"/>
    </xf>
    <xf numFmtId="0" fontId="29" fillId="3" borderId="41" xfId="0" applyFont="1" applyFill="1" applyBorder="1" applyAlignment="1">
      <alignment horizontal="center" vertical="center" wrapText="1" readingOrder="1"/>
    </xf>
    <xf numFmtId="0" fontId="36" fillId="3" borderId="0" xfId="0" applyFont="1" applyFill="1"/>
    <xf numFmtId="0" fontId="28" fillId="15" borderId="45" xfId="0" applyFont="1" applyFill="1" applyBorder="1" applyAlignment="1">
      <alignment horizontal="center" vertical="center" wrapText="1" readingOrder="1"/>
    </xf>
    <xf numFmtId="0" fontId="28" fillId="15" borderId="46" xfId="0" applyFont="1" applyFill="1" applyBorder="1" applyAlignment="1">
      <alignment horizontal="center" vertical="center" wrapText="1" readingOrder="1"/>
    </xf>
    <xf numFmtId="0" fontId="11" fillId="3" borderId="0" xfId="0" applyFont="1" applyFill="1"/>
    <xf numFmtId="0" fontId="25" fillId="3" borderId="0" xfId="0" applyFont="1" applyFill="1" applyAlignment="1">
      <alignment horizontal="center" vertical="center" wrapText="1"/>
    </xf>
    <xf numFmtId="0" fontId="13" fillId="3" borderId="0" xfId="0" applyFont="1" applyFill="1"/>
    <xf numFmtId="0" fontId="4" fillId="3" borderId="0" xfId="0" applyFont="1" applyFill="1" applyAlignment="1">
      <alignment horizontal="left" vertical="center"/>
    </xf>
    <xf numFmtId="0" fontId="39" fillId="3" borderId="14" xfId="2" applyFont="1" applyFill="1" applyBorder="1"/>
    <xf numFmtId="0" fontId="44" fillId="3" borderId="0" xfId="0" applyFont="1" applyFill="1" applyAlignment="1">
      <alignment horizontal="left" vertical="center" wrapText="1"/>
    </xf>
    <xf numFmtId="0" fontId="45" fillId="3" borderId="0" xfId="0" applyFont="1" applyFill="1" applyAlignment="1">
      <alignment horizontal="left" vertical="top" wrapText="1"/>
    </xf>
    <xf numFmtId="0" fontId="39" fillId="3" borderId="0" xfId="2" applyFont="1" applyFill="1"/>
    <xf numFmtId="0" fontId="39" fillId="3" borderId="15" xfId="2" applyFont="1" applyFill="1" applyBorder="1"/>
    <xf numFmtId="0" fontId="39" fillId="3" borderId="16" xfId="2" applyFont="1" applyFill="1" applyBorder="1"/>
    <xf numFmtId="0" fontId="39" fillId="3" borderId="18" xfId="2" applyFont="1" applyFill="1" applyBorder="1"/>
    <xf numFmtId="0" fontId="39" fillId="3" borderId="17" xfId="2" applyFont="1" applyFill="1" applyBorder="1"/>
    <xf numFmtId="0" fontId="43" fillId="3" borderId="0" xfId="2" applyFont="1" applyFill="1" applyAlignment="1">
      <alignment horizontal="left" vertical="center" wrapText="1"/>
    </xf>
    <xf numFmtId="0" fontId="39" fillId="3" borderId="0" xfId="2" applyFont="1" applyFill="1" applyAlignment="1">
      <alignment horizontal="left" vertical="center" wrapText="1"/>
    </xf>
    <xf numFmtId="0" fontId="39" fillId="3" borderId="0" xfId="2" quotePrefix="1" applyFont="1" applyFill="1" applyAlignment="1">
      <alignment horizontal="left" vertical="center" wrapText="1"/>
    </xf>
    <xf numFmtId="0" fontId="41" fillId="3" borderId="14" xfId="2" quotePrefix="1" applyFont="1" applyFill="1" applyBorder="1" applyAlignment="1">
      <alignment horizontal="left" vertical="top" wrapText="1"/>
    </xf>
    <xf numFmtId="0" fontId="42" fillId="3" borderId="0" xfId="2" quotePrefix="1" applyFont="1" applyFill="1" applyAlignment="1">
      <alignment horizontal="left" vertical="top" wrapText="1"/>
    </xf>
    <xf numFmtId="0" fontId="42"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1" fillId="0" borderId="2" xfId="0"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26" fillId="0" borderId="2" xfId="0" applyFont="1" applyBorder="1" applyAlignment="1" applyProtection="1">
      <alignment horizontal="center" vertical="top" textRotation="90"/>
      <protection locked="0"/>
    </xf>
    <xf numFmtId="9" fontId="26" fillId="0" borderId="2" xfId="0" applyNumberFormat="1" applyFont="1" applyBorder="1" applyAlignment="1" applyProtection="1">
      <alignment horizontal="center" vertical="top"/>
      <protection hidden="1"/>
    </xf>
    <xf numFmtId="0" fontId="26" fillId="0" borderId="2" xfId="0" applyFont="1" applyBorder="1" applyAlignment="1" applyProtection="1">
      <alignment horizontal="center" vertical="top" wrapText="1"/>
      <protection locked="0"/>
    </xf>
    <xf numFmtId="0" fontId="26" fillId="0" borderId="2" xfId="0" applyFont="1" applyBorder="1" applyAlignment="1" applyProtection="1">
      <alignment horizontal="center" vertical="top"/>
      <protection locked="0"/>
    </xf>
    <xf numFmtId="14" fontId="26" fillId="0" borderId="2" xfId="0" applyNumberFormat="1" applyFont="1" applyBorder="1" applyAlignment="1" applyProtection="1">
      <alignment horizontal="center" vertical="top"/>
      <protection locked="0"/>
    </xf>
    <xf numFmtId="0" fontId="48" fillId="0" borderId="2" xfId="0" applyFont="1" applyBorder="1" applyAlignment="1" applyProtection="1">
      <alignment horizontal="center" vertical="top" textRotation="90" wrapText="1"/>
      <protection hidden="1"/>
    </xf>
    <xf numFmtId="9" fontId="26" fillId="0" borderId="4" xfId="0" applyNumberFormat="1" applyFont="1" applyBorder="1" applyAlignment="1" applyProtection="1">
      <alignment horizontal="center" vertical="top"/>
      <protection hidden="1"/>
    </xf>
    <xf numFmtId="0" fontId="48" fillId="0" borderId="2" xfId="0" applyFont="1" applyBorder="1" applyAlignment="1" applyProtection="1">
      <alignment horizontal="center" vertical="top" textRotation="90"/>
      <protection hidden="1"/>
    </xf>
    <xf numFmtId="0" fontId="26" fillId="0" borderId="4" xfId="0" applyFont="1" applyBorder="1" applyAlignment="1" applyProtection="1">
      <alignment horizontal="center" vertical="top" textRotation="90"/>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51" fillId="6" borderId="0" xfId="0" applyFont="1" applyFill="1" applyAlignment="1">
      <alignment horizontal="center" vertical="center" wrapText="1" readingOrder="1"/>
    </xf>
    <xf numFmtId="0" fontId="52" fillId="5" borderId="11" xfId="0" applyFont="1" applyFill="1" applyBorder="1" applyAlignment="1">
      <alignment horizontal="center" vertical="center" wrapText="1" readingOrder="1"/>
    </xf>
    <xf numFmtId="0" fontId="52" fillId="0" borderId="11" xfId="0" applyFont="1" applyBorder="1" applyAlignment="1">
      <alignment horizontal="center" vertical="center" wrapText="1" readingOrder="1"/>
    </xf>
    <xf numFmtId="0" fontId="52" fillId="0" borderId="11" xfId="0" applyFont="1" applyBorder="1" applyAlignment="1">
      <alignment horizontal="justify" vertical="center" wrapText="1" readingOrder="1"/>
    </xf>
    <xf numFmtId="0" fontId="52" fillId="7" borderId="1" xfId="0" applyFont="1" applyFill="1" applyBorder="1" applyAlignment="1">
      <alignment horizontal="center" vertical="center" wrapText="1" readingOrder="1"/>
    </xf>
    <xf numFmtId="0" fontId="52" fillId="0" borderId="1" xfId="0" applyFont="1" applyBorder="1" applyAlignment="1">
      <alignment horizontal="center" vertical="center" wrapText="1" readingOrder="1"/>
    </xf>
    <xf numFmtId="0" fontId="52" fillId="0" borderId="1" xfId="0" applyFont="1" applyBorder="1" applyAlignment="1">
      <alignment horizontal="justify" vertical="center" wrapText="1" readingOrder="1"/>
    </xf>
    <xf numFmtId="0" fontId="52" fillId="4" borderId="1" xfId="0" applyFont="1" applyFill="1" applyBorder="1" applyAlignment="1">
      <alignment horizontal="center" vertical="center" wrapText="1" readingOrder="1"/>
    </xf>
    <xf numFmtId="0" fontId="52" fillId="8" borderId="1" xfId="0" applyFont="1" applyFill="1" applyBorder="1" applyAlignment="1">
      <alignment horizontal="center" vertical="center" wrapText="1" readingOrder="1"/>
    </xf>
    <xf numFmtId="0" fontId="52" fillId="9" borderId="1" xfId="0" applyFont="1" applyFill="1" applyBorder="1" applyAlignment="1">
      <alignment horizontal="center" vertical="center" wrapText="1" readingOrder="1"/>
    </xf>
    <xf numFmtId="0" fontId="4" fillId="2" borderId="8" xfId="0" applyFont="1" applyFill="1" applyBorder="1" applyAlignment="1">
      <alignment horizontal="center" vertical="center"/>
    </xf>
    <xf numFmtId="0" fontId="1" fillId="0" borderId="75"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53" fillId="3" borderId="0" xfId="0" applyFont="1" applyFill="1" applyAlignment="1">
      <alignment horizontal="justify" vertical="center" wrapText="1" readingOrder="1"/>
    </xf>
    <xf numFmtId="0" fontId="54" fillId="3" borderId="0" xfId="0" applyFont="1" applyFill="1" applyAlignment="1">
      <alignment vertical="center"/>
    </xf>
    <xf numFmtId="0" fontId="53" fillId="0" borderId="0" xfId="0" applyFont="1" applyAlignment="1">
      <alignment horizontal="justify" vertical="center" wrapText="1" readingOrder="1"/>
    </xf>
    <xf numFmtId="0" fontId="53" fillId="0" borderId="0" xfId="0" applyFont="1" applyAlignment="1">
      <alignment vertical="center"/>
    </xf>
    <xf numFmtId="0" fontId="11" fillId="0" borderId="0" xfId="0" pivotButton="1" applyFont="1"/>
    <xf numFmtId="0" fontId="55" fillId="0" borderId="0" xfId="0" applyFont="1" applyAlignment="1">
      <alignment horizontal="center" wrapText="1"/>
    </xf>
    <xf numFmtId="0" fontId="56" fillId="0" borderId="0" xfId="0" applyFont="1"/>
    <xf numFmtId="0" fontId="60" fillId="0" borderId="78" xfId="0" applyFont="1" applyBorder="1" applyAlignment="1">
      <alignment vertical="center" wrapText="1"/>
    </xf>
    <xf numFmtId="0" fontId="58" fillId="0" borderId="0" xfId="0" applyFont="1" applyAlignment="1">
      <alignment vertical="center" wrapText="1"/>
    </xf>
    <xf numFmtId="0" fontId="60" fillId="0" borderId="0" xfId="0" applyFont="1"/>
    <xf numFmtId="0" fontId="58" fillId="0" borderId="0" xfId="0" applyFont="1" applyAlignment="1">
      <alignment horizontal="center" vertical="center" wrapText="1"/>
    </xf>
    <xf numFmtId="0" fontId="60" fillId="0" borderId="33" xfId="0" applyFont="1" applyBorder="1" applyAlignment="1">
      <alignment vertical="center" wrapText="1"/>
    </xf>
    <xf numFmtId="0" fontId="62" fillId="17" borderId="83" xfId="0" applyFont="1" applyFill="1" applyBorder="1" applyAlignment="1">
      <alignment vertical="center"/>
    </xf>
    <xf numFmtId="0" fontId="62" fillId="17" borderId="84" xfId="0" applyFont="1" applyFill="1" applyBorder="1" applyAlignment="1">
      <alignment horizontal="center" vertical="center"/>
    </xf>
    <xf numFmtId="0" fontId="62" fillId="17" borderId="85" xfId="0" applyFont="1" applyFill="1" applyBorder="1" applyAlignment="1">
      <alignment horizontal="center" vertical="center"/>
    </xf>
    <xf numFmtId="0" fontId="60" fillId="18" borderId="77" xfId="0" applyFont="1" applyFill="1" applyBorder="1" applyAlignment="1">
      <alignment vertical="center" wrapText="1"/>
    </xf>
    <xf numFmtId="0" fontId="60" fillId="18" borderId="78" xfId="0" applyFont="1" applyFill="1" applyBorder="1" applyAlignment="1">
      <alignment vertical="center" wrapText="1"/>
    </xf>
    <xf numFmtId="0" fontId="60" fillId="18" borderId="37" xfId="0" applyFont="1" applyFill="1" applyBorder="1" applyAlignment="1">
      <alignment vertical="center" wrapText="1"/>
    </xf>
    <xf numFmtId="0" fontId="60" fillId="18" borderId="33" xfId="0" applyFont="1" applyFill="1" applyBorder="1" applyAlignment="1">
      <alignment vertical="center" wrapText="1"/>
    </xf>
    <xf numFmtId="0" fontId="60" fillId="0" borderId="33" xfId="0" applyFont="1" applyBorder="1" applyAlignment="1">
      <alignment horizontal="left" vertical="center" wrapText="1"/>
    </xf>
    <xf numFmtId="0" fontId="60" fillId="0" borderId="38" xfId="0" applyFont="1" applyBorder="1" applyAlignment="1">
      <alignment horizontal="left" vertical="center" wrapText="1"/>
    </xf>
    <xf numFmtId="0" fontId="60" fillId="0" borderId="33" xfId="0" applyFont="1" applyBorder="1" applyAlignment="1">
      <alignment horizontal="left" vertical="center"/>
    </xf>
    <xf numFmtId="0" fontId="64" fillId="0" borderId="33" xfId="0" applyFont="1" applyBorder="1" applyAlignment="1">
      <alignment horizontal="left" vertical="center" wrapText="1"/>
    </xf>
    <xf numFmtId="0" fontId="60" fillId="18" borderId="39" xfId="0" applyFont="1" applyFill="1" applyBorder="1" applyAlignment="1">
      <alignment vertical="center" wrapText="1"/>
    </xf>
    <xf numFmtId="0" fontId="60" fillId="0" borderId="40" xfId="0" applyFont="1" applyBorder="1" applyAlignment="1">
      <alignment horizontal="left" vertical="center" wrapText="1"/>
    </xf>
    <xf numFmtId="0" fontId="60" fillId="18" borderId="40" xfId="0" applyFont="1" applyFill="1" applyBorder="1" applyAlignment="1">
      <alignment vertical="center" wrapText="1"/>
    </xf>
    <xf numFmtId="0" fontId="64" fillId="0" borderId="40" xfId="0" applyFont="1" applyBorder="1" applyAlignment="1">
      <alignment horizontal="left" vertical="center" wrapText="1"/>
    </xf>
    <xf numFmtId="0" fontId="60" fillId="0" borderId="41" xfId="0" applyFont="1" applyBorder="1" applyAlignment="1">
      <alignment horizontal="left" vertical="center" wrapText="1"/>
    </xf>
    <xf numFmtId="0" fontId="60" fillId="0" borderId="0" xfId="0" applyFont="1" applyAlignment="1">
      <alignment vertical="center" wrapText="1"/>
    </xf>
    <xf numFmtId="0" fontId="60" fillId="0" borderId="0" xfId="0" applyFont="1" applyAlignment="1">
      <alignment horizontal="left" vertical="center" wrapText="1"/>
    </xf>
    <xf numFmtId="0" fontId="60" fillId="0" borderId="0" xfId="0" applyFont="1" applyAlignment="1">
      <alignment horizontal="left" vertical="center"/>
    </xf>
    <xf numFmtId="0" fontId="65" fillId="0" borderId="0" xfId="0" applyFont="1" applyAlignment="1">
      <alignment horizontal="left" vertical="center" wrapText="1"/>
    </xf>
    <xf numFmtId="0" fontId="37" fillId="0" borderId="0" xfId="0" applyFont="1" applyAlignment="1">
      <alignment horizontal="left" vertical="center" wrapText="1"/>
    </xf>
    <xf numFmtId="0" fontId="65" fillId="0" borderId="0" xfId="0" applyFont="1" applyAlignment="1">
      <alignment horizontal="left" vertical="center"/>
    </xf>
    <xf numFmtId="0" fontId="37" fillId="0" borderId="0" xfId="0" applyFont="1" applyAlignment="1">
      <alignment horizontal="left" vertical="center"/>
    </xf>
    <xf numFmtId="0" fontId="60" fillId="0" borderId="15" xfId="0" applyFont="1" applyBorder="1" applyAlignment="1">
      <alignment horizontal="left" vertical="center" wrapText="1"/>
    </xf>
    <xf numFmtId="0" fontId="60" fillId="0" borderId="15" xfId="0" applyFont="1" applyBorder="1"/>
    <xf numFmtId="0" fontId="60" fillId="0" borderId="18" xfId="0" applyFont="1" applyBorder="1"/>
    <xf numFmtId="0" fontId="60" fillId="0" borderId="17" xfId="0" applyFont="1" applyBorder="1"/>
    <xf numFmtId="0" fontId="60" fillId="3" borderId="0" xfId="0" applyFont="1" applyFill="1" applyAlignment="1">
      <alignment horizontal="left" vertical="center" wrapText="1"/>
    </xf>
    <xf numFmtId="0" fontId="60" fillId="3" borderId="87" xfId="0" applyFont="1" applyFill="1" applyBorder="1" applyAlignment="1">
      <alignment horizontal="left" vertical="center" wrapText="1"/>
    </xf>
    <xf numFmtId="0" fontId="60" fillId="0" borderId="89" xfId="0" applyFont="1" applyBorder="1"/>
    <xf numFmtId="0" fontId="67" fillId="19" borderId="34" xfId="0" applyFont="1" applyFill="1" applyBorder="1" applyAlignment="1">
      <alignment horizontal="center" vertical="center" wrapText="1"/>
    </xf>
    <xf numFmtId="0" fontId="66" fillId="19" borderId="34" xfId="0" applyFont="1" applyFill="1" applyBorder="1" applyAlignment="1">
      <alignment horizontal="center" vertical="center" wrapText="1"/>
    </xf>
    <xf numFmtId="0" fontId="68" fillId="19" borderId="34" xfId="0" applyFont="1" applyFill="1" applyBorder="1" applyAlignment="1">
      <alignment horizontal="center" vertical="center" wrapText="1"/>
    </xf>
    <xf numFmtId="165" fontId="68" fillId="19" borderId="90" xfId="0" applyNumberFormat="1" applyFont="1" applyFill="1" applyBorder="1" applyAlignment="1">
      <alignment horizontal="center" vertical="center" wrapText="1"/>
    </xf>
    <xf numFmtId="0" fontId="69" fillId="19" borderId="91" xfId="0" applyFont="1" applyFill="1" applyBorder="1" applyAlignment="1">
      <alignment horizontal="center" vertical="center" wrapText="1"/>
    </xf>
    <xf numFmtId="0" fontId="57" fillId="0" borderId="0" xfId="0" applyFont="1" applyAlignment="1">
      <alignment horizontal="center" vertical="center" wrapText="1"/>
    </xf>
    <xf numFmtId="0" fontId="60" fillId="0" borderId="33" xfId="0" applyFont="1" applyBorder="1" applyAlignment="1">
      <alignment horizontal="center" vertical="center"/>
    </xf>
    <xf numFmtId="0" fontId="60" fillId="0" borderId="33" xfId="0" applyFont="1" applyBorder="1" applyAlignment="1" applyProtection="1">
      <alignment horizontal="center" vertical="center"/>
      <protection locked="0"/>
    </xf>
    <xf numFmtId="166" fontId="60" fillId="0" borderId="92" xfId="0" applyNumberFormat="1" applyFont="1" applyBorder="1" applyAlignment="1">
      <alignment horizontal="center" vertical="center"/>
    </xf>
    <xf numFmtId="0" fontId="0" fillId="0" borderId="94" xfId="0" applyBorder="1"/>
    <xf numFmtId="165" fontId="60" fillId="0" borderId="92" xfId="0" applyNumberFormat="1" applyFont="1" applyBorder="1" applyAlignment="1">
      <alignment horizontal="center" vertical="center"/>
    </xf>
    <xf numFmtId="0" fontId="60" fillId="0" borderId="95" xfId="0" applyFont="1" applyBorder="1" applyAlignment="1">
      <alignment horizontal="center" vertical="center"/>
    </xf>
    <xf numFmtId="0" fontId="60" fillId="0" borderId="95" xfId="0" applyFont="1" applyBorder="1" applyAlignment="1">
      <alignment horizontal="left" vertical="center" wrapText="1"/>
    </xf>
    <xf numFmtId="0" fontId="60" fillId="0" borderId="95" xfId="0" applyFont="1" applyBorder="1" applyAlignment="1" applyProtection="1">
      <alignment horizontal="center" vertical="center"/>
      <protection locked="0"/>
    </xf>
    <xf numFmtId="165" fontId="60" fillId="0" borderId="96" xfId="0" applyNumberFormat="1" applyFont="1" applyBorder="1" applyAlignment="1">
      <alignment horizontal="center" vertical="center"/>
    </xf>
    <xf numFmtId="165" fontId="60" fillId="20" borderId="79" xfId="0" applyNumberFormat="1" applyFont="1" applyFill="1" applyBorder="1" applyAlignment="1">
      <alignment vertical="center"/>
    </xf>
    <xf numFmtId="165" fontId="60" fillId="8" borderId="41" xfId="0" applyNumberFormat="1" applyFont="1" applyFill="1" applyBorder="1" applyAlignment="1">
      <alignment vertical="center"/>
    </xf>
    <xf numFmtId="0" fontId="0" fillId="0" borderId="0" xfId="0" applyAlignment="1" applyProtection="1">
      <alignment horizontal="center"/>
      <protection locked="0"/>
    </xf>
    <xf numFmtId="0" fontId="0" fillId="0" borderId="0" xfId="0" applyProtection="1">
      <protection locked="0"/>
    </xf>
    <xf numFmtId="165" fontId="0" fillId="0" borderId="0" xfId="0" applyNumberFormat="1" applyProtection="1">
      <protection locked="0"/>
    </xf>
    <xf numFmtId="0" fontId="37" fillId="3" borderId="0" xfId="0" applyFont="1" applyFill="1" applyAlignment="1">
      <alignment horizontal="left"/>
    </xf>
    <xf numFmtId="0" fontId="37" fillId="3" borderId="92" xfId="0" applyFont="1" applyFill="1" applyBorder="1" applyAlignment="1" applyProtection="1">
      <alignment horizontal="left" vertical="center" wrapText="1"/>
      <protection locked="0"/>
    </xf>
    <xf numFmtId="0" fontId="37" fillId="3" borderId="98" xfId="0" applyFont="1" applyFill="1" applyBorder="1" applyAlignment="1" applyProtection="1">
      <alignment horizontal="left" vertical="center" wrapText="1"/>
      <protection locked="0"/>
    </xf>
    <xf numFmtId="0" fontId="37" fillId="3" borderId="98" xfId="0" applyFont="1" applyFill="1" applyBorder="1" applyAlignment="1" applyProtection="1">
      <alignment horizontal="left" vertical="center"/>
      <protection locked="0"/>
    </xf>
    <xf numFmtId="0" fontId="37" fillId="3" borderId="81" xfId="0" applyFont="1" applyFill="1" applyBorder="1" applyAlignment="1" applyProtection="1">
      <alignment horizontal="left" vertical="center"/>
      <protection locked="0"/>
    </xf>
    <xf numFmtId="0" fontId="37" fillId="3" borderId="92" xfId="0" applyFont="1" applyFill="1" applyBorder="1" applyAlignment="1" applyProtection="1">
      <alignment horizontal="left" vertical="center"/>
      <protection locked="0"/>
    </xf>
    <xf numFmtId="0" fontId="0" fillId="21" borderId="106" xfId="0" applyFill="1" applyBorder="1" applyAlignment="1">
      <alignment vertical="top" wrapText="1"/>
    </xf>
    <xf numFmtId="0" fontId="0" fillId="22" borderId="106" xfId="0" applyFill="1" applyBorder="1" applyAlignment="1">
      <alignment horizontal="left" vertical="center" wrapText="1"/>
    </xf>
    <xf numFmtId="0" fontId="0" fillId="5" borderId="106" xfId="0" applyFill="1" applyBorder="1" applyAlignment="1">
      <alignment horizontal="left" vertical="center" wrapText="1"/>
    </xf>
    <xf numFmtId="0" fontId="0" fillId="13" borderId="106" xfId="0" applyFill="1" applyBorder="1" applyAlignment="1">
      <alignment vertical="top" wrapText="1"/>
    </xf>
    <xf numFmtId="0" fontId="0" fillId="21" borderId="106" xfId="0" applyFill="1" applyBorder="1" applyAlignment="1">
      <alignment horizontal="left" vertical="center" wrapText="1"/>
    </xf>
    <xf numFmtId="0" fontId="0" fillId="23" borderId="106" xfId="0" applyFill="1" applyBorder="1" applyAlignment="1">
      <alignment horizontal="center" vertical="center" wrapText="1"/>
    </xf>
    <xf numFmtId="0" fontId="0" fillId="13" borderId="106" xfId="0" applyFill="1" applyBorder="1" applyAlignment="1">
      <alignment horizontal="left" vertical="center" wrapText="1"/>
    </xf>
    <xf numFmtId="0" fontId="73" fillId="23" borderId="106" xfId="0" applyFont="1" applyFill="1" applyBorder="1" applyAlignment="1">
      <alignment vertical="center" wrapText="1"/>
    </xf>
    <xf numFmtId="0" fontId="0" fillId="24" borderId="106" xfId="0" applyFill="1" applyBorder="1" applyAlignment="1">
      <alignment horizontal="left" vertical="center" wrapText="1"/>
    </xf>
    <xf numFmtId="0" fontId="0" fillId="5" borderId="106" xfId="0" applyFill="1" applyBorder="1" applyAlignment="1">
      <alignment vertical="top" wrapText="1"/>
    </xf>
    <xf numFmtId="0" fontId="0" fillId="22" borderId="106" xfId="0" applyFill="1" applyBorder="1" applyAlignment="1">
      <alignment vertical="center" wrapText="1"/>
    </xf>
    <xf numFmtId="0" fontId="0" fillId="5" borderId="106" xfId="0" applyFill="1" applyBorder="1" applyAlignment="1">
      <alignment wrapText="1"/>
    </xf>
    <xf numFmtId="0" fontId="60" fillId="5" borderId="38" xfId="0" applyFont="1" applyFill="1" applyBorder="1" applyAlignment="1">
      <alignment horizontal="left" vertical="center" wrapText="1"/>
    </xf>
    <xf numFmtId="0" fontId="60" fillId="22" borderId="33" xfId="0" applyFont="1" applyFill="1" applyBorder="1" applyAlignment="1">
      <alignment horizontal="left" vertical="center" wrapText="1"/>
    </xf>
    <xf numFmtId="0" fontId="0" fillId="5" borderId="106" xfId="0" applyFill="1" applyBorder="1" applyAlignment="1">
      <alignment horizontal="left" vertical="top" wrapText="1"/>
    </xf>
    <xf numFmtId="0" fontId="66" fillId="3" borderId="33" xfId="0" applyFont="1" applyFill="1" applyBorder="1" applyAlignment="1">
      <alignment horizontal="center" vertical="center" wrapText="1"/>
    </xf>
    <xf numFmtId="0" fontId="1" fillId="3" borderId="75" xfId="0" applyFont="1" applyFill="1" applyBorder="1" applyAlignment="1">
      <alignment horizontal="center" vertical="center" wrapText="1"/>
    </xf>
    <xf numFmtId="0" fontId="26" fillId="0" borderId="4" xfId="0" applyFont="1" applyBorder="1" applyAlignment="1" applyProtection="1">
      <alignment vertical="center" wrapText="1"/>
      <protection locked="0"/>
    </xf>
    <xf numFmtId="0" fontId="26" fillId="0" borderId="5" xfId="0" applyFont="1" applyBorder="1" applyAlignment="1" applyProtection="1">
      <alignment vertical="center" wrapText="1"/>
      <protection locked="0"/>
    </xf>
    <xf numFmtId="0" fontId="26" fillId="0" borderId="2" xfId="0" applyFont="1" applyBorder="1" applyAlignment="1" applyProtection="1">
      <alignment horizontal="justify" vertical="top" wrapText="1"/>
      <protection locked="0"/>
    </xf>
    <xf numFmtId="0" fontId="26" fillId="3" borderId="0" xfId="0" applyFont="1" applyFill="1"/>
    <xf numFmtId="0" fontId="26" fillId="0" borderId="2" xfId="0" applyFont="1" applyBorder="1" applyAlignment="1" applyProtection="1">
      <alignment horizontal="justify" vertical="top"/>
      <protection locked="0"/>
    </xf>
    <xf numFmtId="0" fontId="26" fillId="0" borderId="0" xfId="0" applyFont="1"/>
    <xf numFmtId="0" fontId="0" fillId="0" borderId="93" xfId="0" applyBorder="1" applyAlignment="1" applyProtection="1">
      <alignment horizontal="left" vertical="top"/>
      <protection locked="0"/>
    </xf>
    <xf numFmtId="0" fontId="0" fillId="0" borderId="94" xfId="0" applyBorder="1" applyAlignment="1" applyProtection="1">
      <alignment horizontal="left" vertical="top"/>
      <protection locked="0"/>
    </xf>
    <xf numFmtId="0" fontId="0" fillId="0" borderId="94" xfId="0" applyBorder="1" applyAlignment="1">
      <alignment horizontal="left"/>
    </xf>
    <xf numFmtId="0" fontId="26" fillId="0" borderId="2" xfId="0" applyFont="1" applyBorder="1" applyAlignment="1" applyProtection="1">
      <alignment horizontal="center" vertical="center" textRotation="90"/>
      <protection locked="0"/>
    </xf>
    <xf numFmtId="9" fontId="26" fillId="0" borderId="2" xfId="0" applyNumberFormat="1"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26" fillId="0" borderId="4" xfId="0" applyFont="1" applyBorder="1" applyAlignment="1" applyProtection="1">
      <alignment horizontal="right" vertical="top" textRotation="90"/>
      <protection locked="0"/>
    </xf>
    <xf numFmtId="0" fontId="59" fillId="0" borderId="33" xfId="0" applyFont="1" applyBorder="1" applyAlignment="1">
      <alignment horizontal="left" vertical="center" wrapText="1"/>
    </xf>
    <xf numFmtId="0" fontId="40" fillId="14" borderId="48" xfId="2" applyFont="1" applyFill="1" applyBorder="1" applyAlignment="1">
      <alignment horizontal="center" vertical="center" wrapText="1"/>
    </xf>
    <xf numFmtId="0" fontId="40" fillId="14" borderId="49" xfId="2" applyFont="1" applyFill="1" applyBorder="1" applyAlignment="1">
      <alignment horizontal="center" vertical="center" wrapText="1"/>
    </xf>
    <xf numFmtId="0" fontId="40" fillId="14" borderId="50" xfId="2" applyFont="1" applyFill="1" applyBorder="1" applyAlignment="1">
      <alignment horizontal="center" vertical="center" wrapText="1"/>
    </xf>
    <xf numFmtId="0" fontId="39" fillId="0" borderId="14" xfId="2" quotePrefix="1" applyFont="1" applyBorder="1" applyAlignment="1">
      <alignment horizontal="left" vertical="center" wrapText="1"/>
    </xf>
    <xf numFmtId="0" fontId="39" fillId="0" borderId="0" xfId="2" quotePrefix="1" applyFont="1" applyAlignment="1">
      <alignment horizontal="left" vertical="center" wrapText="1"/>
    </xf>
    <xf numFmtId="0" fontId="39" fillId="0" borderId="15" xfId="2" quotePrefix="1" applyFont="1" applyBorder="1" applyAlignment="1">
      <alignment horizontal="left" vertical="center" wrapText="1"/>
    </xf>
    <xf numFmtId="0" fontId="39" fillId="0" borderId="68" xfId="2" quotePrefix="1" applyFont="1" applyBorder="1" applyAlignment="1">
      <alignment horizontal="left" vertical="center" wrapText="1"/>
    </xf>
    <xf numFmtId="0" fontId="39" fillId="0" borderId="69" xfId="2" quotePrefix="1" applyFont="1" applyBorder="1" applyAlignment="1">
      <alignment horizontal="left" vertical="center" wrapText="1"/>
    </xf>
    <xf numFmtId="0" fontId="39" fillId="0" borderId="70" xfId="2" quotePrefix="1" applyFont="1" applyBorder="1" applyAlignment="1">
      <alignment horizontal="left" vertical="center" wrapText="1"/>
    </xf>
    <xf numFmtId="0" fontId="41" fillId="3" borderId="51" xfId="2" quotePrefix="1" applyFont="1" applyFill="1" applyBorder="1" applyAlignment="1">
      <alignment horizontal="left" vertical="top" wrapText="1"/>
    </xf>
    <xf numFmtId="0" fontId="42" fillId="3" borderId="52" xfId="2" quotePrefix="1" applyFont="1" applyFill="1" applyBorder="1" applyAlignment="1">
      <alignment horizontal="left" vertical="top" wrapText="1"/>
    </xf>
    <xf numFmtId="0" fontId="42" fillId="3" borderId="53" xfId="2" quotePrefix="1" applyFont="1" applyFill="1" applyBorder="1" applyAlignment="1">
      <alignment horizontal="left" vertical="top" wrapText="1"/>
    </xf>
    <xf numFmtId="0" fontId="39" fillId="0" borderId="14" xfId="2" quotePrefix="1" applyFont="1" applyBorder="1" applyAlignment="1">
      <alignment horizontal="left" vertical="top" wrapText="1"/>
    </xf>
    <xf numFmtId="0" fontId="39" fillId="0" borderId="0" xfId="2" quotePrefix="1" applyFont="1" applyAlignment="1">
      <alignment horizontal="left" vertical="top" wrapText="1"/>
    </xf>
    <xf numFmtId="0" fontId="39" fillId="0" borderId="15" xfId="2" quotePrefix="1" applyFont="1" applyBorder="1" applyAlignment="1">
      <alignment horizontal="left" vertical="top" wrapText="1"/>
    </xf>
    <xf numFmtId="0" fontId="44" fillId="14" borderId="54" xfId="3" applyFont="1" applyFill="1" applyBorder="1" applyAlignment="1">
      <alignment horizontal="center" vertical="center" wrapText="1"/>
    </xf>
    <xf numFmtId="0" fontId="44" fillId="14" borderId="55" xfId="3" applyFont="1" applyFill="1" applyBorder="1" applyAlignment="1">
      <alignment horizontal="center" vertical="center" wrapText="1"/>
    </xf>
    <xf numFmtId="0" fontId="44" fillId="14" borderId="56" xfId="2" applyFont="1" applyFill="1" applyBorder="1" applyAlignment="1">
      <alignment horizontal="center" vertical="center"/>
    </xf>
    <xf numFmtId="0" fontId="44"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44" fillId="3" borderId="58" xfId="3" applyFont="1" applyFill="1" applyBorder="1" applyAlignment="1">
      <alignment horizontal="left" vertical="top" wrapText="1" readingOrder="1"/>
    </xf>
    <xf numFmtId="0" fontId="44" fillId="3" borderId="59" xfId="3" applyFont="1" applyFill="1" applyBorder="1" applyAlignment="1">
      <alignment horizontal="left" vertical="top" wrapText="1" readingOrder="1"/>
    </xf>
    <xf numFmtId="0" fontId="45" fillId="3" borderId="60" xfId="2" applyFont="1" applyFill="1" applyBorder="1" applyAlignment="1">
      <alignment horizontal="justify" vertical="center" wrapText="1"/>
    </xf>
    <xf numFmtId="0" fontId="45" fillId="3" borderId="61" xfId="2" applyFont="1" applyFill="1" applyBorder="1" applyAlignment="1">
      <alignment horizontal="justify" vertical="center" wrapText="1"/>
    </xf>
    <xf numFmtId="0" fontId="44" fillId="3" borderId="62" xfId="0" applyFont="1" applyFill="1" applyBorder="1" applyAlignment="1">
      <alignment horizontal="left" vertical="center" wrapText="1"/>
    </xf>
    <xf numFmtId="0" fontId="44" fillId="3" borderId="63" xfId="0" applyFont="1" applyFill="1" applyBorder="1" applyAlignment="1">
      <alignment horizontal="left" vertical="center" wrapText="1"/>
    </xf>
    <xf numFmtId="0" fontId="45" fillId="3" borderId="64" xfId="2" applyFont="1" applyFill="1" applyBorder="1" applyAlignment="1">
      <alignment horizontal="justify" vertical="center" wrapText="1"/>
    </xf>
    <xf numFmtId="0" fontId="45" fillId="3" borderId="65" xfId="2" applyFont="1" applyFill="1" applyBorder="1" applyAlignment="1">
      <alignment horizontal="justify" vertical="center" wrapText="1"/>
    </xf>
    <xf numFmtId="0" fontId="39" fillId="3" borderId="14" xfId="2" applyFont="1" applyFill="1" applyBorder="1" applyAlignment="1">
      <alignment horizontal="left" vertical="top" wrapText="1"/>
    </xf>
    <xf numFmtId="0" fontId="39" fillId="3" borderId="0" xfId="2" applyFont="1" applyFill="1" applyAlignment="1">
      <alignment horizontal="left" vertical="top" wrapText="1"/>
    </xf>
    <xf numFmtId="0" fontId="39" fillId="3" borderId="15" xfId="2" applyFont="1" applyFill="1" applyBorder="1" applyAlignment="1">
      <alignment horizontal="left" vertical="top" wrapText="1"/>
    </xf>
    <xf numFmtId="0" fontId="44" fillId="3" borderId="71" xfId="0" applyFont="1" applyFill="1" applyBorder="1" applyAlignment="1">
      <alignment horizontal="left" vertical="center" wrapText="1"/>
    </xf>
    <xf numFmtId="0" fontId="44" fillId="3" borderId="72" xfId="0" applyFont="1" applyFill="1" applyBorder="1" applyAlignment="1">
      <alignment horizontal="left" vertical="center" wrapText="1"/>
    </xf>
    <xf numFmtId="0" fontId="44" fillId="3" borderId="73" xfId="0" applyFont="1" applyFill="1" applyBorder="1" applyAlignment="1">
      <alignment horizontal="left" vertical="center" wrapText="1"/>
    </xf>
    <xf numFmtId="0" fontId="44" fillId="3" borderId="74" xfId="0" applyFont="1" applyFill="1" applyBorder="1" applyAlignment="1">
      <alignment horizontal="left" vertical="center" wrapText="1"/>
    </xf>
    <xf numFmtId="0" fontId="45" fillId="3" borderId="66" xfId="0" applyFont="1" applyFill="1" applyBorder="1" applyAlignment="1">
      <alignment horizontal="justify" vertical="center" wrapText="1"/>
    </xf>
    <xf numFmtId="0" fontId="45" fillId="3" borderId="67" xfId="0" applyFont="1" applyFill="1" applyBorder="1" applyAlignment="1">
      <alignment horizontal="justify" vertical="center" wrapText="1"/>
    </xf>
    <xf numFmtId="0" fontId="58" fillId="0" borderId="0" xfId="0" applyFont="1" applyAlignment="1">
      <alignment horizontal="center" vertical="center" wrapText="1"/>
    </xf>
    <xf numFmtId="0" fontId="59" fillId="0" borderId="33" xfId="0" applyFont="1" applyBorder="1" applyAlignment="1">
      <alignment horizontal="center" vertical="center" wrapText="1"/>
    </xf>
    <xf numFmtId="0" fontId="58" fillId="0" borderId="80" xfId="0" applyFont="1" applyBorder="1" applyAlignment="1">
      <alignment horizontal="center" vertical="center" wrapText="1"/>
    </xf>
    <xf numFmtId="0" fontId="58" fillId="0" borderId="81" xfId="0" applyFont="1" applyBorder="1" applyAlignment="1">
      <alignment horizontal="center" vertical="center" wrapText="1"/>
    </xf>
    <xf numFmtId="0" fontId="58" fillId="0" borderId="82" xfId="0" applyFont="1" applyBorder="1" applyAlignment="1">
      <alignment horizontal="center" vertical="center" wrapText="1"/>
    </xf>
    <xf numFmtId="0" fontId="62" fillId="16" borderId="37" xfId="0" applyFont="1" applyFill="1" applyBorder="1" applyAlignment="1">
      <alignment horizontal="center" vertical="center" wrapText="1"/>
    </xf>
    <xf numFmtId="0" fontId="62" fillId="16" borderId="33" xfId="0" applyFont="1" applyFill="1" applyBorder="1" applyAlignment="1">
      <alignment horizontal="center" vertical="center" wrapText="1"/>
    </xf>
    <xf numFmtId="0" fontId="62" fillId="16" borderId="38" xfId="0" applyFont="1" applyFill="1" applyBorder="1" applyAlignment="1">
      <alignment horizontal="center" vertical="center" wrapText="1"/>
    </xf>
    <xf numFmtId="0" fontId="60" fillId="16" borderId="37" xfId="0" applyFont="1" applyFill="1" applyBorder="1" applyAlignment="1">
      <alignment horizontal="left" vertical="center"/>
    </xf>
    <xf numFmtId="0" fontId="60" fillId="16" borderId="33" xfId="0" applyFont="1" applyFill="1" applyBorder="1" applyAlignment="1">
      <alignment horizontal="left" vertical="center"/>
    </xf>
    <xf numFmtId="0" fontId="60" fillId="16" borderId="38" xfId="0" applyFont="1" applyFill="1" applyBorder="1" applyAlignment="1">
      <alignment horizontal="left" vertical="center"/>
    </xf>
    <xf numFmtId="0" fontId="63" fillId="16" borderId="39" xfId="0" applyFont="1" applyFill="1" applyBorder="1" applyAlignment="1">
      <alignment horizontal="left" vertical="top" wrapText="1"/>
    </xf>
    <xf numFmtId="0" fontId="63" fillId="16" borderId="40" xfId="0" applyFont="1" applyFill="1" applyBorder="1" applyAlignment="1">
      <alignment horizontal="left" vertical="top"/>
    </xf>
    <xf numFmtId="0" fontId="63" fillId="16" borderId="41" xfId="0" applyFont="1" applyFill="1" applyBorder="1" applyAlignment="1">
      <alignment horizontal="left" vertical="top"/>
    </xf>
    <xf numFmtId="0" fontId="63" fillId="3" borderId="0" xfId="0" applyFont="1" applyFill="1" applyAlignment="1">
      <alignment horizontal="center" vertical="center" wrapText="1"/>
    </xf>
    <xf numFmtId="0" fontId="58" fillId="0" borderId="77" xfId="0" applyFont="1" applyBorder="1" applyAlignment="1">
      <alignment vertical="center" wrapText="1"/>
    </xf>
    <xf numFmtId="0" fontId="58" fillId="0" borderId="37" xfId="0" applyFont="1" applyBorder="1" applyAlignment="1">
      <alignment vertical="center" wrapText="1"/>
    </xf>
    <xf numFmtId="0" fontId="59" fillId="0" borderId="78" xfId="0" applyFont="1" applyBorder="1" applyAlignment="1">
      <alignment horizontal="center" vertical="center" wrapText="1"/>
    </xf>
    <xf numFmtId="0" fontId="61" fillId="0" borderId="79" xfId="0" applyFont="1" applyBorder="1" applyAlignment="1">
      <alignment horizontal="center" vertical="center" wrapText="1"/>
    </xf>
    <xf numFmtId="0" fontId="61" fillId="0" borderId="38" xfId="0" applyFont="1" applyBorder="1" applyAlignment="1">
      <alignment horizontal="center" vertical="center" wrapText="1"/>
    </xf>
    <xf numFmtId="0" fontId="66" fillId="20" borderId="39" xfId="0" applyFont="1" applyFill="1" applyBorder="1" applyAlignment="1">
      <alignment horizontal="right" vertical="center"/>
    </xf>
    <xf numFmtId="0" fontId="66" fillId="20" borderId="40" xfId="0" applyFont="1" applyFill="1" applyBorder="1" applyAlignment="1">
      <alignment horizontal="right" vertical="center"/>
    </xf>
    <xf numFmtId="0" fontId="0" fillId="0" borderId="19" xfId="0" applyBorder="1" applyAlignment="1">
      <alignment horizontal="center"/>
    </xf>
    <xf numFmtId="0" fontId="0" fillId="0" borderId="0" xfId="0" applyAlignment="1">
      <alignment horizontal="center"/>
    </xf>
    <xf numFmtId="0" fontId="0" fillId="0" borderId="69" xfId="0" applyBorder="1" applyAlignment="1">
      <alignment horizontal="center"/>
    </xf>
    <xf numFmtId="0" fontId="0" fillId="0" borderId="88" xfId="0" applyBorder="1" applyAlignment="1">
      <alignment horizontal="center"/>
    </xf>
    <xf numFmtId="0" fontId="60" fillId="16" borderId="33" xfId="0" applyFont="1" applyFill="1" applyBorder="1" applyAlignment="1">
      <alignment vertical="center"/>
    </xf>
    <xf numFmtId="0" fontId="60" fillId="16" borderId="40" xfId="0" applyFont="1" applyFill="1" applyBorder="1" applyAlignment="1">
      <alignment horizontal="left" vertical="center" wrapText="1"/>
    </xf>
    <xf numFmtId="0" fontId="66" fillId="19" borderId="36" xfId="0" applyFont="1" applyFill="1" applyBorder="1" applyAlignment="1">
      <alignment horizontal="center" vertical="center" wrapText="1"/>
    </xf>
    <xf numFmtId="0" fontId="66" fillId="19" borderId="47" xfId="0" applyFont="1" applyFill="1" applyBorder="1" applyAlignment="1">
      <alignment horizontal="center" vertical="center" wrapText="1"/>
    </xf>
    <xf numFmtId="0" fontId="66" fillId="20" borderId="12" xfId="0" applyFont="1" applyFill="1" applyBorder="1" applyAlignment="1">
      <alignment horizontal="right" vertical="center"/>
    </xf>
    <xf numFmtId="0" fontId="66" fillId="20" borderId="19" xfId="0" applyFont="1" applyFill="1" applyBorder="1" applyAlignment="1">
      <alignment horizontal="right" vertical="center"/>
    </xf>
    <xf numFmtId="0" fontId="66" fillId="20" borderId="86" xfId="0" applyFont="1" applyFill="1" applyBorder="1" applyAlignment="1">
      <alignment horizontal="right" vertical="center"/>
    </xf>
    <xf numFmtId="0" fontId="60" fillId="0" borderId="104" xfId="0" applyFont="1" applyBorder="1" applyAlignment="1">
      <alignment horizontal="left" vertical="center" wrapText="1"/>
    </xf>
    <xf numFmtId="0" fontId="60" fillId="0" borderId="19" xfId="0" applyFont="1" applyBorder="1" applyAlignment="1">
      <alignment horizontal="left" vertical="center" wrapText="1"/>
    </xf>
    <xf numFmtId="0" fontId="60" fillId="0" borderId="13" xfId="0" applyFont="1" applyBorder="1" applyAlignment="1">
      <alignment horizontal="left" vertical="center" wrapText="1"/>
    </xf>
    <xf numFmtId="0" fontId="60" fillId="0" borderId="105" xfId="0" applyFont="1" applyBorder="1" applyAlignment="1">
      <alignment horizontal="left" vertical="center" wrapText="1"/>
    </xf>
    <xf numFmtId="0" fontId="60" fillId="0" borderId="0" xfId="0" applyFont="1" applyAlignment="1">
      <alignment horizontal="left" vertical="center" wrapText="1"/>
    </xf>
    <xf numFmtId="0" fontId="60" fillId="0" borderId="15" xfId="0" applyFont="1" applyBorder="1" applyAlignment="1">
      <alignment horizontal="left" vertical="center" wrapText="1"/>
    </xf>
    <xf numFmtId="0" fontId="60" fillId="0" borderId="90" xfId="0" applyFont="1" applyBorder="1" applyAlignment="1">
      <alignment horizontal="left" vertical="center" wrapText="1"/>
    </xf>
    <xf numFmtId="0" fontId="60" fillId="0" borderId="69" xfId="0" applyFont="1" applyBorder="1" applyAlignment="1">
      <alignment horizontal="left" vertical="center" wrapText="1"/>
    </xf>
    <xf numFmtId="0" fontId="60" fillId="0" borderId="70" xfId="0" applyFont="1" applyBorder="1" applyAlignment="1">
      <alignment horizontal="left" vertical="center" wrapText="1"/>
    </xf>
    <xf numFmtId="0" fontId="64" fillId="25" borderId="110" xfId="0" applyFont="1" applyFill="1" applyBorder="1" applyAlignment="1">
      <alignment horizontal="center" vertical="center" wrapText="1"/>
    </xf>
    <xf numFmtId="0" fontId="64" fillId="25" borderId="108" xfId="0" applyFont="1" applyFill="1" applyBorder="1" applyAlignment="1">
      <alignment horizontal="center" vertical="center" wrapText="1"/>
    </xf>
    <xf numFmtId="0" fontId="64" fillId="0" borderId="107" xfId="0" applyFont="1" applyBorder="1" applyAlignment="1">
      <alignment horizontal="center" vertical="center" wrapText="1"/>
    </xf>
    <xf numFmtId="0" fontId="64" fillId="0" borderId="108" xfId="0" applyFont="1" applyBorder="1"/>
    <xf numFmtId="0" fontId="74" fillId="0" borderId="107" xfId="0" applyFont="1" applyBorder="1" applyAlignment="1">
      <alignment horizontal="left" vertical="center" wrapText="1"/>
    </xf>
    <xf numFmtId="0" fontId="64" fillId="0" borderId="108" xfId="0" applyFont="1" applyBorder="1" applyAlignment="1">
      <alignment horizontal="center" vertical="center" wrapText="1"/>
    </xf>
    <xf numFmtId="0" fontId="64" fillId="0" borderId="111" xfId="0" applyFont="1" applyBorder="1" applyAlignment="1">
      <alignment horizontal="center" vertical="center" wrapText="1"/>
    </xf>
    <xf numFmtId="0" fontId="64" fillId="0" borderId="112" xfId="0" applyFont="1" applyBorder="1" applyAlignment="1">
      <alignment horizontal="center" vertical="center" wrapText="1"/>
    </xf>
    <xf numFmtId="0" fontId="64" fillId="0" borderId="33" xfId="0" applyFont="1" applyBorder="1" applyAlignment="1">
      <alignment horizontal="center" vertical="center" wrapText="1"/>
    </xf>
    <xf numFmtId="0" fontId="64" fillId="0" borderId="33" xfId="0" applyFont="1" applyBorder="1" applyAlignment="1">
      <alignment horizontal="center" vertical="top" wrapText="1"/>
    </xf>
    <xf numFmtId="0" fontId="64" fillId="0" borderId="33" xfId="0" applyFont="1" applyBorder="1"/>
    <xf numFmtId="0" fontId="64" fillId="25" borderId="33" xfId="0" applyFont="1" applyFill="1" applyBorder="1" applyAlignment="1">
      <alignment horizontal="center" vertical="center" wrapText="1"/>
    </xf>
    <xf numFmtId="0" fontId="64" fillId="25" borderId="92" xfId="0" applyFont="1" applyFill="1" applyBorder="1" applyAlignment="1">
      <alignment horizontal="center" vertical="center" wrapText="1"/>
    </xf>
    <xf numFmtId="0" fontId="64" fillId="25" borderId="98" xfId="0" applyFont="1" applyFill="1" applyBorder="1" applyAlignment="1">
      <alignment horizontal="center" vertical="center" wrapText="1"/>
    </xf>
    <xf numFmtId="0" fontId="37" fillId="3" borderId="92" xfId="0" applyFont="1" applyFill="1" applyBorder="1" applyAlignment="1" applyProtection="1">
      <alignment horizontal="left" vertical="center"/>
      <protection locked="0"/>
    </xf>
    <xf numFmtId="0" fontId="37" fillId="3" borderId="81" xfId="0" applyFont="1" applyFill="1" applyBorder="1" applyAlignment="1" applyProtection="1">
      <alignment horizontal="left" vertical="center"/>
      <protection locked="0"/>
    </xf>
    <xf numFmtId="0" fontId="37" fillId="3" borderId="98" xfId="0" applyFont="1" applyFill="1" applyBorder="1" applyAlignment="1" applyProtection="1">
      <alignment horizontal="left" vertical="center"/>
      <protection locked="0"/>
    </xf>
    <xf numFmtId="0" fontId="64" fillId="0" borderId="108" xfId="0" applyFont="1" applyBorder="1" applyAlignment="1">
      <alignment wrapText="1"/>
    </xf>
    <xf numFmtId="0" fontId="64" fillId="25" borderId="107" xfId="0" applyFont="1" applyFill="1" applyBorder="1" applyAlignment="1">
      <alignment horizontal="center" vertical="center" wrapText="1"/>
    </xf>
    <xf numFmtId="0" fontId="60" fillId="0" borderId="102" xfId="0" applyFont="1" applyBorder="1" applyAlignment="1">
      <alignment horizontal="left" vertical="center" wrapText="1"/>
    </xf>
    <xf numFmtId="0" fontId="60" fillId="0" borderId="103" xfId="0" applyFont="1" applyBorder="1" applyAlignment="1">
      <alignment horizontal="left" vertical="center" wrapText="1"/>
    </xf>
    <xf numFmtId="0" fontId="60" fillId="0" borderId="85" xfId="0" applyFont="1" applyBorder="1" applyAlignment="1">
      <alignment horizontal="center" vertical="center" wrapText="1"/>
    </xf>
    <xf numFmtId="0" fontId="60" fillId="0" borderId="97" xfId="0" applyFont="1" applyBorder="1" applyAlignment="1">
      <alignment horizontal="center" vertical="center" wrapText="1"/>
    </xf>
    <xf numFmtId="0" fontId="60" fillId="0" borderId="43" xfId="0" applyFont="1" applyBorder="1" applyAlignment="1">
      <alignment horizontal="center" vertical="center" wrapText="1"/>
    </xf>
    <xf numFmtId="0" fontId="60" fillId="0" borderId="92" xfId="0" applyFont="1" applyBorder="1" applyAlignment="1">
      <alignment horizontal="left" vertical="center" wrapText="1"/>
    </xf>
    <xf numFmtId="0" fontId="60" fillId="0" borderId="98" xfId="0" applyFont="1" applyBorder="1" applyAlignment="1">
      <alignment horizontal="left" vertical="center" wrapText="1"/>
    </xf>
    <xf numFmtId="0" fontId="59" fillId="0" borderId="80" xfId="0" applyFont="1" applyBorder="1" applyAlignment="1">
      <alignment horizontal="center" vertical="center" wrapText="1"/>
    </xf>
    <xf numFmtId="0" fontId="59" fillId="0" borderId="81" xfId="0" applyFont="1" applyBorder="1" applyAlignment="1">
      <alignment horizontal="center" vertical="center" wrapText="1"/>
    </xf>
    <xf numFmtId="0" fontId="59" fillId="0" borderId="82" xfId="0" applyFont="1" applyBorder="1" applyAlignment="1">
      <alignment horizontal="center" vertical="center" wrapText="1"/>
    </xf>
    <xf numFmtId="0" fontId="66" fillId="20" borderId="51" xfId="0" applyFont="1" applyFill="1" applyBorder="1" applyAlignment="1">
      <alignment horizontal="left" vertical="center"/>
    </xf>
    <xf numFmtId="0" fontId="66" fillId="20" borderId="52" xfId="0" applyFont="1" applyFill="1" applyBorder="1" applyAlignment="1">
      <alignment horizontal="left" vertical="center"/>
    </xf>
    <xf numFmtId="0" fontId="66" fillId="20" borderId="53" xfId="0" applyFont="1" applyFill="1" applyBorder="1" applyAlignment="1">
      <alignment horizontal="left" vertical="center"/>
    </xf>
    <xf numFmtId="0" fontId="66" fillId="20" borderId="16" xfId="0" applyFont="1" applyFill="1" applyBorder="1" applyAlignment="1">
      <alignment horizontal="left" vertical="center"/>
    </xf>
    <xf numFmtId="0" fontId="66" fillId="20" borderId="18" xfId="0" applyFont="1" applyFill="1" applyBorder="1" applyAlignment="1">
      <alignment horizontal="left" vertical="center"/>
    </xf>
    <xf numFmtId="0" fontId="66" fillId="20" borderId="17" xfId="0" applyFont="1" applyFill="1" applyBorder="1" applyAlignment="1">
      <alignment horizontal="left" vertical="center"/>
    </xf>
    <xf numFmtId="0" fontId="70" fillId="19" borderId="33" xfId="0" applyFont="1" applyFill="1" applyBorder="1" applyAlignment="1">
      <alignment horizontal="center" vertical="center" wrapText="1"/>
    </xf>
    <xf numFmtId="0" fontId="71" fillId="19" borderId="92" xfId="0" applyFont="1" applyFill="1" applyBorder="1" applyAlignment="1">
      <alignment horizontal="center" vertical="center" wrapText="1"/>
    </xf>
    <xf numFmtId="0" fontId="71" fillId="19" borderId="81" xfId="0" applyFont="1" applyFill="1" applyBorder="1" applyAlignment="1">
      <alignment horizontal="center" vertical="center" wrapText="1"/>
    </xf>
    <xf numFmtId="0" fontId="71" fillId="19" borderId="98" xfId="0" applyFont="1" applyFill="1" applyBorder="1" applyAlignment="1">
      <alignment horizontal="center" vertical="center" wrapText="1"/>
    </xf>
    <xf numFmtId="0" fontId="71" fillId="19" borderId="33" xfId="0" applyFont="1" applyFill="1" applyBorder="1" applyAlignment="1">
      <alignment horizontal="center" vertical="center" wrapText="1"/>
    </xf>
    <xf numFmtId="0" fontId="71" fillId="19" borderId="33" xfId="0" applyFont="1" applyFill="1" applyBorder="1" applyAlignment="1">
      <alignment horizontal="center" vertical="center"/>
    </xf>
    <xf numFmtId="0" fontId="71" fillId="19" borderId="92" xfId="0" applyFont="1" applyFill="1" applyBorder="1" applyAlignment="1">
      <alignment horizontal="center"/>
    </xf>
    <xf numFmtId="0" fontId="71" fillId="19" borderId="81" xfId="0" applyFont="1" applyFill="1" applyBorder="1" applyAlignment="1">
      <alignment horizontal="center"/>
    </xf>
    <xf numFmtId="0" fontId="71" fillId="19" borderId="98" xfId="0" applyFont="1" applyFill="1" applyBorder="1" applyAlignment="1">
      <alignment horizontal="center"/>
    </xf>
    <xf numFmtId="0" fontId="71" fillId="19" borderId="33" xfId="0" applyFont="1" applyFill="1" applyBorder="1" applyAlignment="1">
      <alignment horizontal="center" vertical="center" textRotation="255"/>
    </xf>
    <xf numFmtId="0" fontId="75" fillId="25" borderId="107" xfId="0" applyFont="1" applyFill="1" applyBorder="1" applyAlignment="1">
      <alignment horizontal="center" wrapText="1"/>
    </xf>
    <xf numFmtId="0" fontId="37" fillId="3" borderId="92" xfId="0" applyFont="1" applyFill="1" applyBorder="1" applyAlignment="1" applyProtection="1">
      <alignment horizontal="left" vertical="center" wrapText="1"/>
      <protection locked="0"/>
    </xf>
    <xf numFmtId="0" fontId="37" fillId="3" borderId="81" xfId="0" applyFont="1" applyFill="1" applyBorder="1" applyAlignment="1" applyProtection="1">
      <alignment horizontal="left" vertical="center" wrapText="1"/>
      <protection locked="0"/>
    </xf>
    <xf numFmtId="0" fontId="37" fillId="3" borderId="98" xfId="0" applyFont="1" applyFill="1" applyBorder="1" applyAlignment="1" applyProtection="1">
      <alignment horizontal="left" vertical="center" wrapText="1"/>
      <protection locked="0"/>
    </xf>
    <xf numFmtId="0" fontId="64" fillId="25" borderId="107" xfId="0" applyFont="1" applyFill="1" applyBorder="1" applyAlignment="1">
      <alignment horizontal="center" vertical="center"/>
    </xf>
    <xf numFmtId="0" fontId="64" fillId="0" borderId="109" xfId="0" applyFont="1" applyBorder="1"/>
    <xf numFmtId="0" fontId="74" fillId="25" borderId="107" xfId="0" applyFont="1" applyFill="1" applyBorder="1" applyAlignment="1">
      <alignment horizontal="center" vertical="center" wrapText="1"/>
    </xf>
    <xf numFmtId="0" fontId="71" fillId="19" borderId="33" xfId="0" applyFont="1" applyFill="1" applyBorder="1" applyAlignment="1">
      <alignment horizontal="center" wrapText="1"/>
    </xf>
    <xf numFmtId="0" fontId="71" fillId="19" borderId="33" xfId="0" applyFont="1" applyFill="1" applyBorder="1" applyAlignment="1">
      <alignment horizontal="center"/>
    </xf>
    <xf numFmtId="0" fontId="71" fillId="19" borderId="92" xfId="0" applyFont="1" applyFill="1" applyBorder="1" applyAlignment="1">
      <alignment horizontal="center" vertical="top" wrapText="1"/>
    </xf>
    <xf numFmtId="0" fontId="71" fillId="19" borderId="81" xfId="0" applyFont="1" applyFill="1" applyBorder="1" applyAlignment="1">
      <alignment horizontal="center" vertical="top"/>
    </xf>
    <xf numFmtId="0" fontId="71" fillId="19" borderId="98" xfId="0" applyFont="1" applyFill="1" applyBorder="1" applyAlignment="1">
      <alignment horizontal="center" vertical="top"/>
    </xf>
    <xf numFmtId="0" fontId="0" fillId="0" borderId="113" xfId="0" applyBorder="1" applyAlignment="1">
      <alignment horizontal="center" vertical="top" wrapText="1"/>
    </xf>
    <xf numFmtId="0" fontId="0" fillId="0" borderId="114" xfId="0" applyBorder="1" applyAlignment="1">
      <alignment horizontal="center" vertical="top" wrapText="1"/>
    </xf>
    <xf numFmtId="0" fontId="37" fillId="0" borderId="92" xfId="0" applyFont="1" applyBorder="1" applyAlignment="1" applyProtection="1">
      <alignment horizontal="left" vertical="center" wrapText="1"/>
      <protection locked="0"/>
    </xf>
    <xf numFmtId="0" fontId="37" fillId="0" borderId="98" xfId="0" applyFont="1" applyBorder="1" applyAlignment="1" applyProtection="1">
      <alignment horizontal="left" vertical="center" wrapText="1"/>
      <protection locked="0"/>
    </xf>
    <xf numFmtId="0" fontId="37" fillId="3" borderId="92" xfId="0" applyFont="1" applyFill="1" applyBorder="1" applyAlignment="1" applyProtection="1">
      <alignment horizontal="center" vertical="center"/>
      <protection locked="0"/>
    </xf>
    <xf numFmtId="0" fontId="37" fillId="3" borderId="98" xfId="0" applyFont="1" applyFill="1" applyBorder="1" applyAlignment="1" applyProtection="1">
      <alignment horizontal="center" vertical="center"/>
      <protection locked="0"/>
    </xf>
    <xf numFmtId="0" fontId="37" fillId="3" borderId="81" xfId="0" applyFont="1" applyFill="1" applyBorder="1" applyAlignment="1" applyProtection="1">
      <alignment horizontal="center" vertical="center"/>
      <protection locked="0"/>
    </xf>
    <xf numFmtId="0" fontId="37" fillId="3" borderId="33" xfId="0" applyFont="1" applyFill="1" applyBorder="1" applyAlignment="1" applyProtection="1">
      <alignment horizontal="left" vertical="center"/>
      <protection locked="0"/>
    </xf>
    <xf numFmtId="0" fontId="60" fillId="0" borderId="0" xfId="0" applyFont="1" applyAlignment="1">
      <alignment horizontal="center"/>
    </xf>
    <xf numFmtId="0" fontId="37" fillId="3" borderId="0" xfId="0" applyFont="1" applyFill="1" applyAlignment="1">
      <alignment horizontal="left"/>
    </xf>
    <xf numFmtId="0" fontId="49" fillId="0" borderId="99" xfId="0" applyFont="1" applyBorder="1" applyAlignment="1" applyProtection="1">
      <alignment horizontal="center" vertical="top" wrapText="1"/>
      <protection locked="0"/>
    </xf>
    <xf numFmtId="0" fontId="49" fillId="0" borderId="100" xfId="0" applyFont="1" applyBorder="1" applyAlignment="1" applyProtection="1">
      <alignment horizontal="center" vertical="top" wrapText="1"/>
      <protection locked="0"/>
    </xf>
    <xf numFmtId="0" fontId="49" fillId="0" borderId="101" xfId="0" applyFont="1" applyBorder="1" applyAlignment="1" applyProtection="1">
      <alignment horizontal="center" vertical="top" wrapText="1"/>
      <protection locked="0"/>
    </xf>
    <xf numFmtId="0" fontId="26" fillId="0" borderId="30" xfId="0" applyFont="1" applyBorder="1" applyAlignment="1" applyProtection="1">
      <alignment horizontal="center" vertical="top" wrapText="1"/>
      <protection locked="0"/>
    </xf>
    <xf numFmtId="0" fontId="26" fillId="0" borderId="76" xfId="0" applyFont="1" applyBorder="1" applyAlignment="1" applyProtection="1">
      <alignment horizontal="center" vertical="top" wrapText="1"/>
      <protection locked="0"/>
    </xf>
    <xf numFmtId="0" fontId="26" fillId="0" borderId="4" xfId="0" applyFont="1" applyBorder="1" applyAlignment="1" applyProtection="1">
      <alignment horizontal="center" vertical="top"/>
      <protection locked="0"/>
    </xf>
    <xf numFmtId="0" fontId="26" fillId="0" borderId="8" xfId="0" applyFont="1" applyBorder="1" applyAlignment="1" applyProtection="1">
      <alignment horizontal="center" vertical="top"/>
      <protection locked="0"/>
    </xf>
    <xf numFmtId="0" fontId="48" fillId="0" borderId="4" xfId="0" applyFont="1" applyBorder="1" applyAlignment="1" applyProtection="1">
      <alignment horizontal="center" vertical="top" wrapText="1"/>
      <protection hidden="1"/>
    </xf>
    <xf numFmtId="0" fontId="48" fillId="0" borderId="8" xfId="0" applyFont="1" applyBorder="1" applyAlignment="1" applyProtection="1">
      <alignment horizontal="center" vertical="top" wrapText="1"/>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26" fillId="0" borderId="4" xfId="0" applyFont="1" applyBorder="1" applyAlignment="1" applyProtection="1">
      <alignment horizontal="center" vertical="center" wrapText="1"/>
      <protection locked="0"/>
    </xf>
    <xf numFmtId="0" fontId="26" fillId="0" borderId="8" xfId="0" applyFont="1" applyBorder="1" applyAlignment="1" applyProtection="1">
      <alignment horizontal="center" vertical="center" wrapText="1"/>
      <protection locked="0"/>
    </xf>
    <xf numFmtId="0" fontId="26" fillId="0" borderId="115" xfId="0" applyFont="1" applyBorder="1" applyAlignment="1" applyProtection="1">
      <alignment horizontal="center" vertical="center" wrapText="1"/>
      <protection locked="0"/>
    </xf>
    <xf numFmtId="0" fontId="26" fillId="0" borderId="116" xfId="0" applyFont="1" applyBorder="1" applyAlignment="1" applyProtection="1">
      <alignment horizontal="center" vertical="center" wrapText="1"/>
      <protection locked="0"/>
    </xf>
    <xf numFmtId="0" fontId="49" fillId="0" borderId="75" xfId="0" applyFont="1" applyBorder="1" applyAlignment="1" applyProtection="1">
      <alignment horizontal="center" vertical="top" wrapText="1"/>
      <protection locked="0"/>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28"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2" fillId="0" borderId="75" xfId="0" applyFont="1" applyBorder="1" applyAlignment="1" applyProtection="1">
      <alignment horizontal="center" vertical="top" wrapText="1"/>
      <protection locked="0"/>
    </xf>
    <xf numFmtId="0" fontId="1" fillId="0" borderId="30" xfId="0" applyFont="1" applyBorder="1" applyAlignment="1" applyProtection="1">
      <alignment horizontal="center" vertical="top" wrapText="1"/>
      <protection locked="0"/>
    </xf>
    <xf numFmtId="0" fontId="1" fillId="0" borderId="76"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5" xfId="0" applyFont="1" applyBorder="1" applyAlignment="1" applyProtection="1">
      <alignment horizontal="center" vertical="top"/>
      <protection locked="0"/>
    </xf>
    <xf numFmtId="0" fontId="4" fillId="0" borderId="5" xfId="0" applyFont="1" applyBorder="1" applyAlignment="1" applyProtection="1">
      <alignment horizontal="center" vertical="top" wrapText="1"/>
      <protection hidden="1"/>
    </xf>
    <xf numFmtId="0" fontId="2" fillId="0" borderId="99" xfId="0" applyFont="1" applyBorder="1" applyAlignment="1" applyProtection="1">
      <alignment horizontal="center" vertical="center" wrapText="1"/>
      <protection locked="0"/>
    </xf>
    <xf numFmtId="0" fontId="2" fillId="0" borderId="101" xfId="0" applyFont="1" applyBorder="1" applyAlignment="1" applyProtection="1">
      <alignment horizontal="center" vertical="center" wrapText="1"/>
      <protection locked="0"/>
    </xf>
    <xf numFmtId="0" fontId="2" fillId="0" borderId="99" xfId="0" applyFont="1" applyBorder="1" applyAlignment="1" applyProtection="1">
      <alignment horizontal="center" vertical="top" wrapText="1"/>
      <protection locked="0"/>
    </xf>
    <xf numFmtId="0" fontId="2" fillId="0" borderId="101" xfId="0" applyFont="1" applyBorder="1" applyAlignment="1" applyProtection="1">
      <alignment horizontal="center" vertical="top" wrapText="1"/>
      <protection locked="0"/>
    </xf>
    <xf numFmtId="0" fontId="4" fillId="2" borderId="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 fillId="0" borderId="115" xfId="0" applyFont="1" applyBorder="1" applyAlignment="1" applyProtection="1">
      <alignment horizontal="center" vertical="top" wrapText="1"/>
      <protection locked="0"/>
    </xf>
    <xf numFmtId="0" fontId="1" fillId="0" borderId="116" xfId="0" applyFont="1" applyBorder="1" applyAlignment="1" applyProtection="1">
      <alignment horizontal="center" vertical="top" wrapText="1"/>
      <protection locked="0"/>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8" fillId="0" borderId="4" xfId="0" applyFont="1" applyBorder="1" applyAlignment="1" applyProtection="1">
      <alignment horizontal="center" vertical="top"/>
      <protection hidden="1"/>
    </xf>
    <xf numFmtId="0" fontId="48" fillId="0" borderId="8" xfId="0" applyFont="1" applyBorder="1" applyAlignment="1" applyProtection="1">
      <alignment horizontal="center" vertical="top"/>
      <protection hidden="1"/>
    </xf>
    <xf numFmtId="9" fontId="26" fillId="0" borderId="4" xfId="0" applyNumberFormat="1" applyFont="1" applyBorder="1" applyAlignment="1" applyProtection="1">
      <alignment horizontal="center" vertical="top" wrapText="1"/>
      <protection hidden="1"/>
    </xf>
    <xf numFmtId="9" fontId="26" fillId="0" borderId="8" xfId="0" applyNumberFormat="1" applyFont="1" applyBorder="1" applyAlignment="1" applyProtection="1">
      <alignment horizontal="center" vertical="top" wrapText="1"/>
      <protection hidden="1"/>
    </xf>
    <xf numFmtId="9" fontId="26" fillId="0" borderId="4" xfId="0" applyNumberFormat="1" applyFont="1" applyBorder="1" applyAlignment="1" applyProtection="1">
      <alignment horizontal="center" vertical="top" wrapText="1"/>
      <protection locked="0"/>
    </xf>
    <xf numFmtId="9" fontId="26" fillId="0" borderId="8" xfId="0" applyNumberFormat="1" applyFont="1" applyBorder="1" applyAlignment="1" applyProtection="1">
      <alignment horizontal="center" vertical="top" wrapText="1"/>
      <protection locked="0"/>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9" fillId="0" borderId="99" xfId="0" applyFont="1" applyBorder="1" applyAlignment="1" applyProtection="1">
      <alignment horizontal="center" vertical="center" wrapText="1"/>
      <protection locked="0"/>
    </xf>
    <xf numFmtId="0" fontId="49" fillId="0" borderId="100" xfId="0" applyFont="1" applyBorder="1" applyAlignment="1" applyProtection="1">
      <alignment horizontal="center" vertical="center" wrapText="1"/>
      <protection locked="0"/>
    </xf>
    <xf numFmtId="0" fontId="22" fillId="2" borderId="6" xfId="0" applyFont="1" applyFill="1" applyBorder="1" applyAlignment="1">
      <alignment horizontal="left" vertical="center"/>
    </xf>
    <xf numFmtId="0" fontId="22" fillId="2" borderId="10" xfId="0" applyFont="1" applyFill="1" applyBorder="1" applyAlignment="1">
      <alignment horizontal="left" vertical="center"/>
    </xf>
    <xf numFmtId="0" fontId="24" fillId="2" borderId="4" xfId="0" applyFont="1" applyFill="1" applyBorder="1" applyAlignment="1">
      <alignment horizontal="center" vertical="center" textRotation="90"/>
    </xf>
    <xf numFmtId="0" fontId="24"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48" fillId="2" borderId="2" xfId="0" applyFont="1" applyFill="1" applyBorder="1" applyAlignment="1">
      <alignment horizontal="center" vertical="center" wrapText="1"/>
    </xf>
    <xf numFmtId="0" fontId="26" fillId="3" borderId="75" xfId="0" applyFont="1" applyFill="1" applyBorder="1" applyAlignment="1" applyProtection="1">
      <alignment horizontal="left" vertical="top"/>
      <protection locked="0"/>
    </xf>
    <xf numFmtId="0" fontId="26" fillId="3" borderId="75"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xf>
    <xf numFmtId="0" fontId="1" fillId="0" borderId="30" xfId="0" applyFont="1" applyBorder="1" applyAlignment="1" applyProtection="1">
      <alignment horizontal="center" vertical="center" wrapText="1"/>
      <protection locked="0"/>
    </xf>
    <xf numFmtId="0" fontId="1" fillId="0" borderId="76" xfId="0" applyFont="1" applyBorder="1" applyAlignment="1" applyProtection="1">
      <alignment horizontal="center" vertical="center" wrapText="1"/>
      <protection locked="0"/>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0" fontId="1" fillId="0" borderId="5" xfId="0" applyFont="1" applyBorder="1" applyAlignment="1">
      <alignment horizontal="center" vertical="center"/>
    </xf>
    <xf numFmtId="0" fontId="1" fillId="0" borderId="28" xfId="0" applyFont="1" applyBorder="1" applyAlignment="1" applyProtection="1">
      <alignment horizontal="center" vertical="top" wrapText="1"/>
      <protection locked="0"/>
    </xf>
    <xf numFmtId="0" fontId="1" fillId="0" borderId="9" xfId="0" applyFont="1" applyBorder="1" applyAlignment="1" applyProtection="1">
      <alignment horizontal="center" vertical="top" wrapText="1"/>
      <protection locked="0"/>
    </xf>
    <xf numFmtId="0" fontId="1" fillId="0" borderId="3" xfId="0" applyFont="1" applyBorder="1" applyAlignment="1" applyProtection="1">
      <alignment horizontal="center" vertical="top" wrapText="1"/>
      <protection locked="0"/>
    </xf>
    <xf numFmtId="0" fontId="1" fillId="0" borderId="32" xfId="0"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locked="0"/>
    </xf>
    <xf numFmtId="0" fontId="4" fillId="0" borderId="5" xfId="0" applyFont="1" applyBorder="1" applyAlignment="1" applyProtection="1">
      <alignment horizontal="center" vertical="top"/>
      <protection hidden="1"/>
    </xf>
    <xf numFmtId="0" fontId="23" fillId="2" borderId="28" xfId="0" applyFont="1" applyFill="1" applyBorder="1" applyAlignment="1">
      <alignment horizontal="center" vertical="center"/>
    </xf>
    <xf numFmtId="0" fontId="23" fillId="2" borderId="29" xfId="0" applyFont="1" applyFill="1" applyBorder="1" applyAlignment="1">
      <alignment horizontal="center" vertical="center"/>
    </xf>
    <xf numFmtId="0" fontId="23" fillId="2" borderId="30" xfId="0" applyFont="1" applyFill="1" applyBorder="1" applyAlignment="1">
      <alignment horizontal="center" vertical="center"/>
    </xf>
    <xf numFmtId="0" fontId="23" fillId="2" borderId="3" xfId="0" applyFont="1" applyFill="1" applyBorder="1" applyAlignment="1">
      <alignment horizontal="center" vertical="center"/>
    </xf>
    <xf numFmtId="0" fontId="23" fillId="2" borderId="31" xfId="0" applyFont="1" applyFill="1" applyBorder="1" applyAlignment="1">
      <alignment horizontal="center" vertical="center"/>
    </xf>
    <xf numFmtId="0" fontId="23"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3" fillId="0" borderId="0" xfId="0" applyFont="1" applyAlignment="1">
      <alignment horizontal="center" vertical="center" wrapText="1"/>
    </xf>
    <xf numFmtId="0" fontId="18" fillId="5" borderId="14"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6" fillId="10" borderId="0" xfId="0" applyFont="1" applyFill="1" applyAlignment="1">
      <alignment horizontal="center" vertical="center" wrapText="1" readingOrder="1"/>
    </xf>
    <xf numFmtId="0" fontId="15" fillId="0" borderId="12" xfId="0" applyFont="1" applyBorder="1" applyAlignment="1">
      <alignment horizontal="center" vertical="center" wrapText="1"/>
    </xf>
    <xf numFmtId="0" fontId="15" fillId="0" borderId="19"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0" xfId="0" applyFont="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8" xfId="0" applyFont="1" applyBorder="1" applyAlignment="1">
      <alignment horizontal="center" vertical="center"/>
    </xf>
    <xf numFmtId="0" fontId="15" fillId="0" borderId="17" xfId="0" applyFont="1" applyBorder="1" applyAlignment="1">
      <alignment horizontal="center" vertical="center"/>
    </xf>
    <xf numFmtId="0" fontId="15" fillId="0" borderId="19" xfId="0" applyFont="1" applyBorder="1" applyAlignment="1">
      <alignment horizontal="center" vertical="center" wrapText="1"/>
    </xf>
    <xf numFmtId="0" fontId="16" fillId="10" borderId="0" xfId="0" applyFont="1" applyFill="1" applyAlignment="1">
      <alignment horizontal="center" vertical="center" textRotation="90" wrapText="1" readingOrder="1"/>
    </xf>
    <xf numFmtId="0" fontId="16" fillId="10" borderId="15" xfId="0" applyFont="1" applyFill="1" applyBorder="1" applyAlignment="1">
      <alignment horizontal="center" vertical="center" textRotation="90" wrapText="1" readingOrder="1"/>
    </xf>
    <xf numFmtId="0" fontId="19" fillId="12" borderId="20" xfId="0" applyFont="1" applyFill="1" applyBorder="1" applyAlignment="1">
      <alignment horizontal="center" vertical="center" wrapText="1" readingOrder="1"/>
    </xf>
    <xf numFmtId="0" fontId="19" fillId="12" borderId="21" xfId="0" applyFont="1" applyFill="1" applyBorder="1" applyAlignment="1">
      <alignment horizontal="center" vertical="center" wrapText="1" readingOrder="1"/>
    </xf>
    <xf numFmtId="0" fontId="19" fillId="12" borderId="22" xfId="0" applyFont="1" applyFill="1" applyBorder="1" applyAlignment="1">
      <alignment horizontal="center" vertical="center" wrapText="1" readingOrder="1"/>
    </xf>
    <xf numFmtId="0" fontId="19" fillId="12" borderId="23" xfId="0" applyFont="1" applyFill="1" applyBorder="1" applyAlignment="1">
      <alignment horizontal="center" vertical="center" wrapText="1" readingOrder="1"/>
    </xf>
    <xf numFmtId="0" fontId="19" fillId="12" borderId="0" xfId="0" applyFont="1" applyFill="1" applyAlignment="1">
      <alignment horizontal="center" vertical="center" wrapText="1" readingOrder="1"/>
    </xf>
    <xf numFmtId="0" fontId="19" fillId="12" borderId="24" xfId="0" applyFont="1" applyFill="1" applyBorder="1" applyAlignment="1">
      <alignment horizontal="center" vertical="center" wrapText="1" readingOrder="1"/>
    </xf>
    <xf numFmtId="0" fontId="19" fillId="12" borderId="25" xfId="0" applyFont="1" applyFill="1" applyBorder="1" applyAlignment="1">
      <alignment horizontal="center" vertical="center" wrapText="1" readingOrder="1"/>
    </xf>
    <xf numFmtId="0" fontId="19" fillId="12" borderId="26" xfId="0" applyFont="1" applyFill="1" applyBorder="1" applyAlignment="1">
      <alignment horizontal="center" vertical="center" wrapText="1" readingOrder="1"/>
    </xf>
    <xf numFmtId="0" fontId="19" fillId="12" borderId="27" xfId="0" applyFont="1" applyFill="1" applyBorder="1" applyAlignment="1">
      <alignment horizontal="center" vertical="center" wrapText="1" readingOrder="1"/>
    </xf>
    <xf numFmtId="0" fontId="19" fillId="11" borderId="20" xfId="0" applyFont="1" applyFill="1" applyBorder="1" applyAlignment="1">
      <alignment horizontal="center" vertical="center" wrapText="1" readingOrder="1"/>
    </xf>
    <xf numFmtId="0" fontId="19" fillId="11" borderId="21" xfId="0" applyFont="1" applyFill="1" applyBorder="1" applyAlignment="1">
      <alignment horizontal="center" vertical="center" wrapText="1" readingOrder="1"/>
    </xf>
    <xf numFmtId="0" fontId="19" fillId="11" borderId="22" xfId="0" applyFont="1" applyFill="1" applyBorder="1" applyAlignment="1">
      <alignment horizontal="center" vertical="center" wrapText="1" readingOrder="1"/>
    </xf>
    <xf numFmtId="0" fontId="19" fillId="11" borderId="23" xfId="0" applyFont="1" applyFill="1" applyBorder="1" applyAlignment="1">
      <alignment horizontal="center" vertical="center" wrapText="1" readingOrder="1"/>
    </xf>
    <xf numFmtId="0" fontId="19" fillId="11" borderId="0" xfId="0" applyFont="1" applyFill="1" applyAlignment="1">
      <alignment horizontal="center" vertical="center" wrapText="1" readingOrder="1"/>
    </xf>
    <xf numFmtId="0" fontId="19" fillId="11" borderId="24" xfId="0" applyFont="1" applyFill="1" applyBorder="1" applyAlignment="1">
      <alignment horizontal="center" vertical="center" wrapText="1" readingOrder="1"/>
    </xf>
    <xf numFmtId="0" fontId="19" fillId="11" borderId="25" xfId="0" applyFont="1" applyFill="1" applyBorder="1" applyAlignment="1">
      <alignment horizontal="center" vertical="center" wrapText="1" readingOrder="1"/>
    </xf>
    <xf numFmtId="0" fontId="19" fillId="11" borderId="26" xfId="0" applyFont="1" applyFill="1" applyBorder="1" applyAlignment="1">
      <alignment horizontal="center" vertical="center" wrapText="1" readingOrder="1"/>
    </xf>
    <xf numFmtId="0" fontId="19" fillId="11" borderId="27" xfId="0" applyFont="1" applyFill="1" applyBorder="1" applyAlignment="1">
      <alignment horizontal="center" vertical="center" wrapText="1" readingOrder="1"/>
    </xf>
    <xf numFmtId="0" fontId="19" fillId="13" borderId="20" xfId="0" applyFont="1" applyFill="1" applyBorder="1" applyAlignment="1">
      <alignment horizontal="center" vertical="center" wrapText="1" readingOrder="1"/>
    </xf>
    <xf numFmtId="0" fontId="19" fillId="13" borderId="21" xfId="0" applyFont="1" applyFill="1" applyBorder="1" applyAlignment="1">
      <alignment horizontal="center" vertical="center" wrapText="1" readingOrder="1"/>
    </xf>
    <xf numFmtId="0" fontId="19" fillId="13" borderId="22" xfId="0" applyFont="1" applyFill="1" applyBorder="1" applyAlignment="1">
      <alignment horizontal="center" vertical="center" wrapText="1" readingOrder="1"/>
    </xf>
    <xf numFmtId="0" fontId="19" fillId="13" borderId="23" xfId="0" applyFont="1" applyFill="1" applyBorder="1" applyAlignment="1">
      <alignment horizontal="center" vertical="center" wrapText="1" readingOrder="1"/>
    </xf>
    <xf numFmtId="0" fontId="19" fillId="13" borderId="0" xfId="0" applyFont="1" applyFill="1" applyAlignment="1">
      <alignment horizontal="center" vertical="center" wrapText="1" readingOrder="1"/>
    </xf>
    <xf numFmtId="0" fontId="19" fillId="13" borderId="24" xfId="0" applyFont="1" applyFill="1" applyBorder="1" applyAlignment="1">
      <alignment horizontal="center" vertical="center" wrapText="1" readingOrder="1"/>
    </xf>
    <xf numFmtId="0" fontId="19" fillId="13" borderId="25" xfId="0" applyFont="1" applyFill="1" applyBorder="1" applyAlignment="1">
      <alignment horizontal="center" vertical="center" wrapText="1" readingOrder="1"/>
    </xf>
    <xf numFmtId="0" fontId="19" fillId="13" borderId="26" xfId="0" applyFont="1" applyFill="1" applyBorder="1" applyAlignment="1">
      <alignment horizontal="center" vertical="center" wrapText="1" readingOrder="1"/>
    </xf>
    <xf numFmtId="0" fontId="19" fillId="13" borderId="27" xfId="0" applyFont="1" applyFill="1" applyBorder="1" applyAlignment="1">
      <alignment horizontal="center" vertical="center" wrapText="1" readingOrder="1"/>
    </xf>
    <xf numFmtId="0" fontId="19" fillId="5" borderId="20" xfId="0" applyFont="1" applyFill="1" applyBorder="1" applyAlignment="1">
      <alignment horizontal="center" vertical="center" wrapText="1" readingOrder="1"/>
    </xf>
    <xf numFmtId="0" fontId="19" fillId="5" borderId="21" xfId="0" applyFont="1" applyFill="1" applyBorder="1" applyAlignment="1">
      <alignment horizontal="center" vertical="center" wrapText="1" readingOrder="1"/>
    </xf>
    <xf numFmtId="0" fontId="19" fillId="5" borderId="22" xfId="0" applyFont="1" applyFill="1" applyBorder="1" applyAlignment="1">
      <alignment horizontal="center" vertical="center" wrapText="1" readingOrder="1"/>
    </xf>
    <xf numFmtId="0" fontId="19" fillId="5" borderId="23" xfId="0" applyFont="1" applyFill="1" applyBorder="1" applyAlignment="1">
      <alignment horizontal="center" vertical="center" wrapText="1" readingOrder="1"/>
    </xf>
    <xf numFmtId="0" fontId="19" fillId="5" borderId="0" xfId="0" applyFont="1" applyFill="1" applyAlignment="1">
      <alignment horizontal="center" vertical="center" wrapText="1" readingOrder="1"/>
    </xf>
    <xf numFmtId="0" fontId="19" fillId="5" borderId="24" xfId="0" applyFont="1" applyFill="1" applyBorder="1" applyAlignment="1">
      <alignment horizontal="center" vertical="center" wrapText="1" readingOrder="1"/>
    </xf>
    <xf numFmtId="0" fontId="19" fillId="5" borderId="25" xfId="0" applyFont="1" applyFill="1" applyBorder="1" applyAlignment="1">
      <alignment horizontal="center" vertical="center" wrapText="1" readingOrder="1"/>
    </xf>
    <xf numFmtId="0" fontId="19" fillId="5" borderId="26" xfId="0" applyFont="1" applyFill="1" applyBorder="1" applyAlignment="1">
      <alignment horizontal="center" vertical="center" wrapText="1" readingOrder="1"/>
    </xf>
    <xf numFmtId="0" fontId="19" fillId="5" borderId="27" xfId="0" applyFont="1" applyFill="1" applyBorder="1" applyAlignment="1">
      <alignment horizontal="center" vertical="center" wrapText="1" readingOrder="1"/>
    </xf>
    <xf numFmtId="0" fontId="34" fillId="0" borderId="12" xfId="0" applyFont="1" applyBorder="1" applyAlignment="1">
      <alignment horizontal="center" vertical="center" wrapText="1"/>
    </xf>
    <xf numFmtId="0" fontId="34" fillId="0" borderId="19" xfId="0" applyFont="1" applyBorder="1" applyAlignment="1">
      <alignment horizontal="center" vertical="center"/>
    </xf>
    <xf numFmtId="0" fontId="34" fillId="0" borderId="13" xfId="0" applyFont="1" applyBorder="1" applyAlignment="1">
      <alignment horizontal="center" vertical="center"/>
    </xf>
    <xf numFmtId="0" fontId="34" fillId="0" borderId="14" xfId="0" applyFont="1" applyBorder="1" applyAlignment="1">
      <alignment horizontal="center" vertical="center"/>
    </xf>
    <xf numFmtId="0" fontId="34" fillId="0" borderId="0" xfId="0" applyFont="1" applyAlignment="1">
      <alignment horizontal="center" vertical="center"/>
    </xf>
    <xf numFmtId="0" fontId="34" fillId="0" borderId="15" xfId="0" applyFont="1" applyBorder="1" applyAlignment="1">
      <alignment horizontal="center" vertical="center"/>
    </xf>
    <xf numFmtId="0" fontId="34" fillId="0" borderId="16" xfId="0" applyFont="1" applyBorder="1" applyAlignment="1">
      <alignment horizontal="center" vertical="center"/>
    </xf>
    <xf numFmtId="0" fontId="34" fillId="0" borderId="18" xfId="0" applyFont="1" applyBorder="1" applyAlignment="1">
      <alignment horizontal="center" vertical="center"/>
    </xf>
    <xf numFmtId="0" fontId="34" fillId="0" borderId="17" xfId="0" applyFont="1" applyBorder="1" applyAlignment="1">
      <alignment horizontal="center" vertical="center"/>
    </xf>
    <xf numFmtId="0" fontId="34" fillId="0" borderId="19" xfId="0" applyFont="1" applyBorder="1" applyAlignment="1">
      <alignment horizontal="center" vertical="center" wrapText="1"/>
    </xf>
    <xf numFmtId="0" fontId="33" fillId="11" borderId="20" xfId="0" applyFont="1" applyFill="1" applyBorder="1" applyAlignment="1">
      <alignment horizontal="center" vertical="center" wrapText="1" readingOrder="1"/>
    </xf>
    <xf numFmtId="0" fontId="33" fillId="11" borderId="21" xfId="0" applyFont="1" applyFill="1" applyBorder="1" applyAlignment="1">
      <alignment horizontal="center" vertical="center" wrapText="1" readingOrder="1"/>
    </xf>
    <xf numFmtId="0" fontId="33" fillId="11" borderId="22" xfId="0" applyFont="1" applyFill="1" applyBorder="1" applyAlignment="1">
      <alignment horizontal="center" vertical="center" wrapText="1" readingOrder="1"/>
    </xf>
    <xf numFmtId="0" fontId="33" fillId="11" borderId="23" xfId="0" applyFont="1" applyFill="1" applyBorder="1" applyAlignment="1">
      <alignment horizontal="center" vertical="center" wrapText="1" readingOrder="1"/>
    </xf>
    <xf numFmtId="0" fontId="33" fillId="11" borderId="0" xfId="0" applyFont="1" applyFill="1" applyAlignment="1">
      <alignment horizontal="center" vertical="center" wrapText="1" readingOrder="1"/>
    </xf>
    <xf numFmtId="0" fontId="33" fillId="11" borderId="24" xfId="0" applyFont="1" applyFill="1" applyBorder="1" applyAlignment="1">
      <alignment horizontal="center" vertical="center" wrapText="1" readingOrder="1"/>
    </xf>
    <xf numFmtId="0" fontId="33" fillId="11" borderId="25" xfId="0" applyFont="1" applyFill="1" applyBorder="1" applyAlignment="1">
      <alignment horizontal="center" vertical="center" wrapText="1" readingOrder="1"/>
    </xf>
    <xf numFmtId="0" fontId="33" fillId="11" borderId="26" xfId="0" applyFont="1" applyFill="1" applyBorder="1" applyAlignment="1">
      <alignment horizontal="center" vertical="center" wrapText="1" readingOrder="1"/>
    </xf>
    <xf numFmtId="0" fontId="33" fillId="11" borderId="27" xfId="0" applyFont="1" applyFill="1" applyBorder="1" applyAlignment="1">
      <alignment horizontal="center" vertical="center" wrapText="1" readingOrder="1"/>
    </xf>
    <xf numFmtId="0" fontId="34" fillId="0" borderId="14" xfId="0" applyFont="1" applyBorder="1" applyAlignment="1">
      <alignment horizontal="center" vertical="center" wrapText="1"/>
    </xf>
    <xf numFmtId="0" fontId="33" fillId="12" borderId="20" xfId="0" applyFont="1" applyFill="1" applyBorder="1" applyAlignment="1">
      <alignment horizontal="center" vertical="center" wrapText="1" readingOrder="1"/>
    </xf>
    <xf numFmtId="0" fontId="33" fillId="12" borderId="21" xfId="0" applyFont="1" applyFill="1" applyBorder="1" applyAlignment="1">
      <alignment horizontal="center" vertical="center" wrapText="1" readingOrder="1"/>
    </xf>
    <xf numFmtId="0" fontId="33" fillId="12" borderId="22" xfId="0" applyFont="1" applyFill="1" applyBorder="1" applyAlignment="1">
      <alignment horizontal="center" vertical="center" wrapText="1" readingOrder="1"/>
    </xf>
    <xf numFmtId="0" fontId="33" fillId="12" borderId="23" xfId="0" applyFont="1" applyFill="1" applyBorder="1" applyAlignment="1">
      <alignment horizontal="center" vertical="center" wrapText="1" readingOrder="1"/>
    </xf>
    <xf numFmtId="0" fontId="33" fillId="12" borderId="0" xfId="0" applyFont="1" applyFill="1" applyAlignment="1">
      <alignment horizontal="center" vertical="center" wrapText="1" readingOrder="1"/>
    </xf>
    <xf numFmtId="0" fontId="33" fillId="12" borderId="24" xfId="0" applyFont="1" applyFill="1" applyBorder="1" applyAlignment="1">
      <alignment horizontal="center" vertical="center" wrapText="1" readingOrder="1"/>
    </xf>
    <xf numFmtId="0" fontId="33" fillId="12" borderId="25" xfId="0" applyFont="1" applyFill="1" applyBorder="1" applyAlignment="1">
      <alignment horizontal="center" vertical="center" wrapText="1" readingOrder="1"/>
    </xf>
    <xf numFmtId="0" fontId="33" fillId="12" borderId="26" xfId="0" applyFont="1" applyFill="1" applyBorder="1" applyAlignment="1">
      <alignment horizontal="center" vertical="center" wrapText="1" readingOrder="1"/>
    </xf>
    <xf numFmtId="0" fontId="33" fillId="12" borderId="27" xfId="0" applyFont="1" applyFill="1" applyBorder="1" applyAlignment="1">
      <alignment horizontal="center" vertical="center" wrapText="1" readingOrder="1"/>
    </xf>
    <xf numFmtId="0" fontId="32" fillId="0" borderId="0" xfId="0" applyFont="1" applyAlignment="1">
      <alignment horizontal="center" vertical="center" wrapText="1"/>
    </xf>
    <xf numFmtId="0" fontId="20" fillId="0" borderId="0" xfId="0" applyFont="1" applyAlignment="1">
      <alignment horizontal="center" vertical="center" wrapText="1"/>
    </xf>
    <xf numFmtId="0" fontId="33" fillId="5" borderId="20" xfId="0" applyFont="1" applyFill="1" applyBorder="1" applyAlignment="1">
      <alignment horizontal="center" vertical="center" wrapText="1" readingOrder="1"/>
    </xf>
    <xf numFmtId="0" fontId="33" fillId="5" borderId="21" xfId="0" applyFont="1" applyFill="1" applyBorder="1" applyAlignment="1">
      <alignment horizontal="center" vertical="center" wrapText="1" readingOrder="1"/>
    </xf>
    <xf numFmtId="0" fontId="33" fillId="5" borderId="22" xfId="0" applyFont="1" applyFill="1" applyBorder="1" applyAlignment="1">
      <alignment horizontal="center" vertical="center" wrapText="1" readingOrder="1"/>
    </xf>
    <xf numFmtId="0" fontId="33" fillId="5" borderId="23" xfId="0" applyFont="1" applyFill="1" applyBorder="1" applyAlignment="1">
      <alignment horizontal="center" vertical="center" wrapText="1" readingOrder="1"/>
    </xf>
    <xf numFmtId="0" fontId="33" fillId="5" borderId="0" xfId="0" applyFont="1" applyFill="1" applyAlignment="1">
      <alignment horizontal="center" vertical="center" wrapText="1" readingOrder="1"/>
    </xf>
    <xf numFmtId="0" fontId="33" fillId="5" borderId="24" xfId="0" applyFont="1" applyFill="1" applyBorder="1" applyAlignment="1">
      <alignment horizontal="center" vertical="center" wrapText="1" readingOrder="1"/>
    </xf>
    <xf numFmtId="0" fontId="33" fillId="5" borderId="25" xfId="0" applyFont="1" applyFill="1" applyBorder="1" applyAlignment="1">
      <alignment horizontal="center" vertical="center" wrapText="1" readingOrder="1"/>
    </xf>
    <xf numFmtId="0" fontId="33" fillId="5" borderId="26" xfId="0" applyFont="1" applyFill="1" applyBorder="1" applyAlignment="1">
      <alignment horizontal="center" vertical="center" wrapText="1" readingOrder="1"/>
    </xf>
    <xf numFmtId="0" fontId="33" fillId="5" borderId="27" xfId="0" applyFont="1" applyFill="1" applyBorder="1" applyAlignment="1">
      <alignment horizontal="center" vertical="center" wrapText="1" readingOrder="1"/>
    </xf>
    <xf numFmtId="0" fontId="33" fillId="13" borderId="20" xfId="0" applyFont="1" applyFill="1" applyBorder="1" applyAlignment="1">
      <alignment horizontal="center" vertical="center" wrapText="1" readingOrder="1"/>
    </xf>
    <xf numFmtId="0" fontId="33" fillId="13" borderId="21" xfId="0" applyFont="1" applyFill="1" applyBorder="1" applyAlignment="1">
      <alignment horizontal="center" vertical="center" wrapText="1" readingOrder="1"/>
    </xf>
    <xf numFmtId="0" fontId="33" fillId="13" borderId="22" xfId="0" applyFont="1" applyFill="1" applyBorder="1" applyAlignment="1">
      <alignment horizontal="center" vertical="center" wrapText="1" readingOrder="1"/>
    </xf>
    <xf numFmtId="0" fontId="33" fillId="13" borderId="23" xfId="0" applyFont="1" applyFill="1" applyBorder="1" applyAlignment="1">
      <alignment horizontal="center" vertical="center" wrapText="1" readingOrder="1"/>
    </xf>
    <xf numFmtId="0" fontId="33" fillId="13" borderId="0" xfId="0" applyFont="1" applyFill="1" applyAlignment="1">
      <alignment horizontal="center" vertical="center" wrapText="1" readingOrder="1"/>
    </xf>
    <xf numFmtId="0" fontId="33" fillId="13" borderId="24" xfId="0" applyFont="1" applyFill="1" applyBorder="1" applyAlignment="1">
      <alignment horizontal="center" vertical="center" wrapText="1" readingOrder="1"/>
    </xf>
    <xf numFmtId="0" fontId="33" fillId="13" borderId="25" xfId="0" applyFont="1" applyFill="1" applyBorder="1" applyAlignment="1">
      <alignment horizontal="center" vertical="center" wrapText="1" readingOrder="1"/>
    </xf>
    <xf numFmtId="0" fontId="33" fillId="13" borderId="26" xfId="0" applyFont="1" applyFill="1" applyBorder="1" applyAlignment="1">
      <alignment horizontal="center" vertical="center" wrapText="1" readingOrder="1"/>
    </xf>
    <xf numFmtId="0" fontId="33" fillId="13" borderId="27" xfId="0" applyFont="1" applyFill="1" applyBorder="1" applyAlignment="1">
      <alignment horizontal="center" vertical="center" wrapText="1" readingOrder="1"/>
    </xf>
    <xf numFmtId="0" fontId="22" fillId="0" borderId="0" xfId="0" applyFont="1" applyAlignment="1">
      <alignment horizontal="center" vertical="center"/>
    </xf>
    <xf numFmtId="0" fontId="50" fillId="0" borderId="0" xfId="0" applyFont="1" applyAlignment="1">
      <alignment horizontal="center" vertical="center"/>
    </xf>
    <xf numFmtId="0" fontId="31" fillId="15" borderId="35" xfId="0" applyFont="1" applyFill="1" applyBorder="1" applyAlignment="1">
      <alignment horizontal="center" vertical="center" wrapText="1" readingOrder="1"/>
    </xf>
    <xf numFmtId="0" fontId="31" fillId="15" borderId="36" xfId="0" applyFont="1" applyFill="1" applyBorder="1" applyAlignment="1">
      <alignment horizontal="center" vertical="center" wrapText="1" readingOrder="1"/>
    </xf>
    <xf numFmtId="0" fontId="31" fillId="15" borderId="47" xfId="0" applyFont="1" applyFill="1" applyBorder="1" applyAlignment="1">
      <alignment horizontal="center" vertical="center" wrapText="1" readingOrder="1"/>
    </xf>
    <xf numFmtId="0" fontId="26" fillId="3" borderId="0" xfId="0" applyFont="1" applyFill="1" applyAlignment="1">
      <alignment horizontal="justify" vertical="center" wrapText="1"/>
    </xf>
    <xf numFmtId="0" fontId="28" fillId="15" borderId="44" xfId="0" applyFont="1" applyFill="1" applyBorder="1" applyAlignment="1">
      <alignment horizontal="center" vertical="center" wrapText="1" readingOrder="1"/>
    </xf>
    <xf numFmtId="0" fontId="28" fillId="15" borderId="45" xfId="0" applyFont="1" applyFill="1" applyBorder="1" applyAlignment="1">
      <alignment horizontal="center" vertical="center" wrapText="1" readingOrder="1"/>
    </xf>
    <xf numFmtId="0" fontId="28" fillId="3" borderId="42" xfId="0" applyFont="1" applyFill="1" applyBorder="1" applyAlignment="1">
      <alignment horizontal="center" vertical="center" wrapText="1" readingOrder="1"/>
    </xf>
    <xf numFmtId="0" fontId="28" fillId="3" borderId="37" xfId="0" applyFont="1" applyFill="1" applyBorder="1" applyAlignment="1">
      <alignment horizontal="center" vertical="center" wrapText="1" readingOrder="1"/>
    </xf>
    <xf numFmtId="0" fontId="28" fillId="3" borderId="34" xfId="0" applyFont="1" applyFill="1" applyBorder="1" applyAlignment="1">
      <alignment horizontal="center" vertical="center" wrapText="1" readingOrder="1"/>
    </xf>
    <xf numFmtId="0" fontId="28" fillId="3" borderId="33" xfId="0" applyFont="1" applyFill="1" applyBorder="1" applyAlignment="1">
      <alignment horizontal="center" vertical="center" wrapText="1" readingOrder="1"/>
    </xf>
    <xf numFmtId="0" fontId="28" fillId="3" borderId="39" xfId="0" applyFont="1" applyFill="1" applyBorder="1" applyAlignment="1">
      <alignment horizontal="center" vertical="center" wrapText="1" readingOrder="1"/>
    </xf>
    <xf numFmtId="0" fontId="2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35">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eetMetadata" Target="metadata.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5</xdr:col>
      <xdr:colOff>723900</xdr:colOff>
      <xdr:row>0</xdr:row>
      <xdr:rowOff>0</xdr:rowOff>
    </xdr:from>
    <xdr:to>
      <xdr:col>5</xdr:col>
      <xdr:colOff>1343025</xdr:colOff>
      <xdr:row>3</xdr:row>
      <xdr:rowOff>159016</xdr:rowOff>
    </xdr:to>
    <xdr:pic>
      <xdr:nvPicPr>
        <xdr:cNvPr id="2" name="Imagen 1">
          <a:extLst>
            <a:ext uri="{FF2B5EF4-FFF2-40B4-BE49-F238E27FC236}">
              <a16:creationId xmlns:a16="http://schemas.microsoft.com/office/drawing/2014/main" id="{F0275B7B-765F-3F38-10F9-E26725B317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44225" y="0"/>
          <a:ext cx="619125" cy="7305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1828800</xdr:colOff>
      <xdr:row>3</xdr:row>
      <xdr:rowOff>180281</xdr:rowOff>
    </xdr:to>
    <xdr:pic>
      <xdr:nvPicPr>
        <xdr:cNvPr id="3" name="Imagen 2">
          <a:extLst>
            <a:ext uri="{FF2B5EF4-FFF2-40B4-BE49-F238E27FC236}">
              <a16:creationId xmlns:a16="http://schemas.microsoft.com/office/drawing/2014/main" id="{5EEF3012-8060-B2C7-BFD8-789F424DB12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828800" cy="7517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25</xdr:row>
      <xdr:rowOff>288633</xdr:rowOff>
    </xdr:from>
    <xdr:to>
      <xdr:col>0</xdr:col>
      <xdr:colOff>1</xdr:colOff>
      <xdr:row>39</xdr:row>
      <xdr:rowOff>288634</xdr:rowOff>
    </xdr:to>
    <xdr:sp macro="" textlink="">
      <xdr:nvSpPr>
        <xdr:cNvPr id="3" name="CuadroTexto 2">
          <a:extLst>
            <a:ext uri="{FF2B5EF4-FFF2-40B4-BE49-F238E27FC236}">
              <a16:creationId xmlns:a16="http://schemas.microsoft.com/office/drawing/2014/main" id="{8335E96B-B5F1-48E3-8253-E8FA7A702D9F}"/>
            </a:ext>
          </a:extLst>
        </xdr:cNvPr>
        <xdr:cNvSpPr txBox="1"/>
      </xdr:nvSpPr>
      <xdr:spPr>
        <a:xfrm rot="16200000">
          <a:off x="-3928110" y="16431603"/>
          <a:ext cx="7856221" cy="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a:latin typeface="Arial" panose="020B0604020202020204" pitchFamily="34" charset="0"/>
              <a:cs typeface="Arial" panose="020B0604020202020204" pitchFamily="34" charset="0"/>
            </a:rPr>
            <a:t>D</a:t>
          </a:r>
          <a:r>
            <a:rPr lang="es-CO" sz="1200" b="1" baseline="0">
              <a:latin typeface="Arial" panose="020B0604020202020204" pitchFamily="34" charset="0"/>
              <a:cs typeface="Arial" panose="020B0604020202020204" pitchFamily="34" charset="0"/>
            </a:rPr>
            <a:t>  E  B  I  L  I  D  A  D  E  </a:t>
          </a:r>
          <a:r>
            <a:rPr lang="es-CO" sz="1200" b="1">
              <a:latin typeface="Arial" panose="020B0604020202020204" pitchFamily="34" charset="0"/>
              <a:cs typeface="Arial" panose="020B0604020202020204" pitchFamily="34" charset="0"/>
            </a:rPr>
            <a:t> S</a:t>
          </a:r>
        </a:p>
      </xdr:txBody>
    </xdr:sp>
    <xdr:clientData/>
  </xdr:twoCellAnchor>
  <xdr:twoCellAnchor>
    <xdr:from>
      <xdr:col>19</xdr:col>
      <xdr:colOff>2222499</xdr:colOff>
      <xdr:row>0</xdr:row>
      <xdr:rowOff>0</xdr:rowOff>
    </xdr:from>
    <xdr:to>
      <xdr:col>19</xdr:col>
      <xdr:colOff>3030680</xdr:colOff>
      <xdr:row>3</xdr:row>
      <xdr:rowOff>187614</xdr:rowOff>
    </xdr:to>
    <xdr:sp macro="" textlink="">
      <xdr:nvSpPr>
        <xdr:cNvPr id="4" name="CuadroTexto 3">
          <a:extLst>
            <a:ext uri="{FF2B5EF4-FFF2-40B4-BE49-F238E27FC236}">
              <a16:creationId xmlns:a16="http://schemas.microsoft.com/office/drawing/2014/main" id="{319AEEC8-6C98-49FA-8CBF-0E123D8E50AC}"/>
            </a:ext>
          </a:extLst>
        </xdr:cNvPr>
        <xdr:cNvSpPr txBox="1"/>
      </xdr:nvSpPr>
      <xdr:spPr>
        <a:xfrm>
          <a:off x="12547599" y="0"/>
          <a:ext cx="461" cy="108677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0</xdr:col>
      <xdr:colOff>0</xdr:colOff>
      <xdr:row>40</xdr:row>
      <xdr:rowOff>0</xdr:rowOff>
    </xdr:from>
    <xdr:to>
      <xdr:col>0</xdr:col>
      <xdr:colOff>2</xdr:colOff>
      <xdr:row>40</xdr:row>
      <xdr:rowOff>0</xdr:rowOff>
    </xdr:to>
    <xdr:sp macro="" textlink="">
      <xdr:nvSpPr>
        <xdr:cNvPr id="6" name="CuadroTexto 5">
          <a:extLst>
            <a:ext uri="{FF2B5EF4-FFF2-40B4-BE49-F238E27FC236}">
              <a16:creationId xmlns:a16="http://schemas.microsoft.com/office/drawing/2014/main" id="{7E56F4DA-FB72-4ABB-A604-DFFDE4AACB60}"/>
            </a:ext>
          </a:extLst>
        </xdr:cNvPr>
        <xdr:cNvSpPr txBox="1"/>
      </xdr:nvSpPr>
      <xdr:spPr>
        <a:xfrm rot="16200000">
          <a:off x="1" y="20703539"/>
          <a:ext cx="0" cy="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baseline="0">
              <a:latin typeface="Arial" panose="020B0604020202020204" pitchFamily="34" charset="0"/>
              <a:cs typeface="Arial" panose="020B0604020202020204" pitchFamily="34" charset="0"/>
            </a:rPr>
            <a:t>D E L  P R O C E S O</a:t>
          </a:r>
        </a:p>
      </xdr:txBody>
    </xdr:sp>
    <xdr:clientData/>
  </xdr:twoCellAnchor>
  <xdr:twoCellAnchor editAs="oneCell">
    <xdr:from>
      <xdr:col>19</xdr:col>
      <xdr:colOff>430531</xdr:colOff>
      <xdr:row>0</xdr:row>
      <xdr:rowOff>0</xdr:rowOff>
    </xdr:from>
    <xdr:to>
      <xdr:col>19</xdr:col>
      <xdr:colOff>1334663</xdr:colOff>
      <xdr:row>3</xdr:row>
      <xdr:rowOff>180975</xdr:rowOff>
    </xdr:to>
    <xdr:pic>
      <xdr:nvPicPr>
        <xdr:cNvPr id="5" name="Imagen 4">
          <a:extLst>
            <a:ext uri="{FF2B5EF4-FFF2-40B4-BE49-F238E27FC236}">
              <a16:creationId xmlns:a16="http://schemas.microsoft.com/office/drawing/2014/main" id="{591EEBAE-BCDC-AE74-8797-8978336CD4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90171" y="0"/>
          <a:ext cx="904132" cy="1057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1</xdr:row>
      <xdr:rowOff>0</xdr:rowOff>
    </xdr:from>
    <xdr:to>
      <xdr:col>0</xdr:col>
      <xdr:colOff>885825</xdr:colOff>
      <xdr:row>2</xdr:row>
      <xdr:rowOff>32463</xdr:rowOff>
    </xdr:to>
    <xdr:pic>
      <xdr:nvPicPr>
        <xdr:cNvPr id="8" name="Imagen 7">
          <a:extLst>
            <a:ext uri="{FF2B5EF4-FFF2-40B4-BE49-F238E27FC236}">
              <a16:creationId xmlns:a16="http://schemas.microsoft.com/office/drawing/2014/main" id="{D5C51344-7463-B4E6-69EC-5A0E21720C8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50" y="390525"/>
          <a:ext cx="866775" cy="3563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19</xdr:col>
          <xdr:colOff>579120</xdr:colOff>
          <xdr:row>11</xdr:row>
          <xdr:rowOff>388620</xdr:rowOff>
        </xdr:from>
        <xdr:to>
          <xdr:col>19</xdr:col>
          <xdr:colOff>883920</xdr:colOff>
          <xdr:row>12</xdr:row>
          <xdr:rowOff>30480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9</xdr:col>
      <xdr:colOff>152401</xdr:colOff>
      <xdr:row>0</xdr:row>
      <xdr:rowOff>28575</xdr:rowOff>
    </xdr:from>
    <xdr:to>
      <xdr:col>9</xdr:col>
      <xdr:colOff>741701</xdr:colOff>
      <xdr:row>3</xdr:row>
      <xdr:rowOff>152400</xdr:rowOff>
    </xdr:to>
    <xdr:pic>
      <xdr:nvPicPr>
        <xdr:cNvPr id="2" name="Imagen 1">
          <a:extLst>
            <a:ext uri="{FF2B5EF4-FFF2-40B4-BE49-F238E27FC236}">
              <a16:creationId xmlns:a16="http://schemas.microsoft.com/office/drawing/2014/main" id="{E979F2D4-9129-905E-E7AB-54124D4622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44501" y="28575"/>
          <a:ext cx="589300" cy="695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66674</xdr:colOff>
      <xdr:row>0</xdr:row>
      <xdr:rowOff>55244</xdr:rowOff>
    </xdr:from>
    <xdr:to>
      <xdr:col>1</xdr:col>
      <xdr:colOff>714374</xdr:colOff>
      <xdr:row>3</xdr:row>
      <xdr:rowOff>137637</xdr:rowOff>
    </xdr:to>
    <xdr:pic>
      <xdr:nvPicPr>
        <xdr:cNvPr id="3" name="Imagen 2">
          <a:extLst>
            <a:ext uri="{FF2B5EF4-FFF2-40B4-BE49-F238E27FC236}">
              <a16:creationId xmlns:a16="http://schemas.microsoft.com/office/drawing/2014/main" id="{C2E08980-DE53-528A-83A0-997EE40D011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4" y="55244"/>
          <a:ext cx="1615440" cy="6538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cela\Desktop\mapa%20de%20riesgos%20de%20corrupcion\MAPA%20DE%20RIESGOS%20VERSION%20NUEVA%20E%20INFORMACION%20ACTUALIZADA%20A%2030%20DE%20AGOSTO%20DE%20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AROLINA\Desktop\MEMORIA%20LUMERO\POR%20CONTESTAR\SIGAMI%202023\MAPAS%202023\Monitoreo%20mapa%20de%20Corrupcion%20septiembre%20y%20octubre%20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Users/Maria%20Paula/Downloads/46942-MR-20230216141848(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GIORGIO2020/Downloads/30554-MR-2020050717524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HOME\Downloads\Formato%20Matriz%20de%20Riesgos%20202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CONTEXTO"/>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CONTEXTO"/>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CORRUPCIÓN"/>
      <sheetName val="Hoja13"/>
      <sheetName val="NOO"/>
      <sheetName val="NO"/>
    </sheetNames>
    <sheetDataSet>
      <sheetData sheetId="0"/>
      <sheetData sheetId="1">
        <row r="1">
          <cell r="B1" t="str">
            <v xml:space="preserve">PROCESO: </v>
          </cell>
        </row>
        <row r="8">
          <cell r="A8" t="str">
            <v xml:space="preserve">PROCESO: </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XTO"/>
      <sheetName val="matriz definicion riesgo"/>
      <sheetName val="IDENTIFICACION"/>
      <sheetName val="PRIORIZACIÓN DE CAUSA"/>
      <sheetName val="IDENTIFICACION(GyC)"/>
      <sheetName val="DOFA"/>
      <sheetName val="DESCRIPCION"/>
      <sheetName val="PROBABILIDAD"/>
      <sheetName val=" IMPACTO RIESGOS GESTION"/>
      <sheetName val=" Impacto riesgo de corrupción "/>
      <sheetName val="VALORACION RIESGO (1)"/>
      <sheetName val="VALORACION RIESGO (2)"/>
      <sheetName val="VALORACION RIESGO (3)"/>
      <sheetName val="Hoja3"/>
      <sheetName val="VALORACION RIESGO (4)"/>
      <sheetName val="VALORACION RIESGO (5)"/>
      <sheetName val="CONTROLES Y EVALUACION"/>
      <sheetName val="SOLIDEZ DE LOS CONTROLES"/>
      <sheetName val="MAPA DE RIESGO ADMON"/>
    </sheetNames>
    <sheetDataSet>
      <sheetData sheetId="0" refreshError="1">
        <row r="11">
          <cell r="B11" t="str">
            <v xml:space="preserve">Constantes cambios normativos </v>
          </cell>
        </row>
        <row r="14">
          <cell r="D14" t="str">
            <v xml:space="preserve">Dificultad en la unificación de criterios para la realización de los procesos contractuales </v>
          </cell>
        </row>
      </sheetData>
      <sheetData sheetId="1" refreshError="1"/>
      <sheetData sheetId="2" refreshError="1"/>
      <sheetData sheetId="3" refreshError="1">
        <row r="15">
          <cell r="B15" t="str">
            <v xml:space="preserve">Personal insuficiente para adelantar las labores de proceso administrativo y contractual. </v>
          </cell>
        </row>
        <row r="16">
          <cell r="B16" t="str">
            <v xml:space="preserve">Falta de Etica y valores  y de aplicación del código de integridad y buen gobierno. </v>
          </cell>
        </row>
        <row r="17">
          <cell r="B17" t="str">
            <v xml:space="preserve">Dificultad en la unificación de criterios para la realización de los procesos contractuales </v>
          </cell>
        </row>
        <row r="18">
          <cell r="B18" t="str">
            <v>Falta de articulación entre las Secretarías ejecutoras, Secretaría de Planeación  y oficina de Contratación</v>
          </cell>
        </row>
        <row r="19">
          <cell r="B19" t="str">
            <v xml:space="preserve">Equipos tecnológicos obsoletos, Sistemas de Información no integrados. </v>
          </cell>
        </row>
        <row r="21">
          <cell r="B21" t="str">
            <v>Unidades administrativas ubicadas en diferentes sitios de la ciudad (Ibagué).</v>
          </cell>
        </row>
        <row r="23">
          <cell r="B23" t="str">
            <v xml:space="preserve">Desactualización de la caracterización del proceso. </v>
          </cell>
        </row>
        <row r="24">
          <cell r="B24" t="str">
            <v>Demoras en la recepción de la información contractual por parte de las secretarias ejecutoras.</v>
          </cell>
        </row>
        <row r="25">
          <cell r="B25" t="str">
            <v xml:space="preserve">Desconocimiento de la caracterización, manuales, procedimientos, instructivos, guías, formatos y demas documentos propios del proceso por parte del personal nuevo. </v>
          </cell>
        </row>
        <row r="26">
          <cell r="B26" t="str">
            <v>Falta de compromiso de los líderes de los procesos en la implementación de mejora, asociadas a los planes de mejoramiento</v>
          </cell>
        </row>
        <row r="27">
          <cell r="B27" t="str">
            <v xml:space="preserve">Desconocimiento del estatuto contractual y sus decretos reglamentarios </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Tratamiento"/>
      <sheetName val="Tabla Valoración controles"/>
    </sheetNames>
    <sheetDataSet>
      <sheetData sheetId="0" refreshError="1"/>
      <sheetData sheetId="1"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OME" refreshedDate="44504.576682754632"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800-000000000000}" name="TablaDinámica1" cacheId="12"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34">
      <pivotArea type="all" dataOnly="0" outline="0" fieldPosition="0"/>
    </format>
    <format dxfId="33">
      <pivotArea field="0" type="button" dataOnly="0" labelOnly="1" outline="0" axis="axisRow" fieldPosition="0"/>
    </format>
    <format dxfId="32">
      <pivotArea field="1" type="button" dataOnly="0" labelOnly="1" outline="0" axis="axisRow" fieldPosition="1"/>
    </format>
    <format dxfId="31">
      <pivotArea dataOnly="0" labelOnly="1" outline="0" fieldPosition="0">
        <references count="1">
          <reference field="0" count="0"/>
        </references>
      </pivotArea>
    </format>
    <format dxfId="30">
      <pivotArea dataOnly="0" labelOnly="1" outline="0" fieldPosition="0">
        <references count="2">
          <reference field="0" count="1" selected="0">
            <x v="0"/>
          </reference>
          <reference field="1" count="5">
            <x v="0"/>
            <x v="6"/>
            <x v="7"/>
            <x v="8"/>
            <x v="9"/>
          </reference>
        </references>
      </pivotArea>
    </format>
    <format dxfId="29">
      <pivotArea dataOnly="0" labelOnly="1" outline="0" fieldPosition="0">
        <references count="2">
          <reference field="0" count="1" selected="0">
            <x v="1"/>
          </reference>
          <reference field="1" count="5">
            <x v="1"/>
            <x v="2"/>
            <x v="3"/>
            <x v="4"/>
            <x v="5"/>
          </reference>
        </references>
      </pivotArea>
    </format>
    <format dxfId="28">
      <pivotArea type="all" dataOnly="0" outline="0" fieldPosition="0"/>
    </format>
    <format dxfId="27">
      <pivotArea field="0" type="button" dataOnly="0" labelOnly="1" outline="0" axis="axisRow" fieldPosition="0"/>
    </format>
    <format dxfId="26">
      <pivotArea field="1" type="button" dataOnly="0" labelOnly="1" outline="0" axis="axisRow" fieldPosition="1"/>
    </format>
    <format dxfId="25">
      <pivotArea dataOnly="0" labelOnly="1" outline="0" fieldPosition="0">
        <references count="1">
          <reference field="0" count="0"/>
        </references>
      </pivotArea>
    </format>
    <format dxfId="24">
      <pivotArea dataOnly="0" labelOnly="1" outline="0" fieldPosition="0">
        <references count="2">
          <reference field="0" count="1" selected="0">
            <x v="0"/>
          </reference>
          <reference field="1" count="5">
            <x v="10"/>
            <x v="11"/>
            <x v="12"/>
            <x v="13"/>
            <x v="14"/>
          </reference>
        </references>
      </pivotArea>
    </format>
    <format dxfId="23">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22" dataDxfId="21">
  <autoFilter ref="B209:C219" xr:uid="{00000000-0009-0000-0100-000001000000}"/>
  <tableColumns count="2">
    <tableColumn id="1" xr3:uid="{00000000-0010-0000-0000-000001000000}" name="Criterios" dataDxfId="20"/>
    <tableColumn id="2" xr3:uid="{00000000-0010-0000-0000-000002000000}" name="Subcriterios" dataDxfId="19"/>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7" sqref="B7:H7"/>
    </sheetView>
  </sheetViews>
  <sheetFormatPr baseColWidth="10" defaultColWidth="11.44140625" defaultRowHeight="14.4" x14ac:dyDescent="0.3"/>
  <cols>
    <col min="1" max="1" width="2.88671875" style="67" customWidth="1"/>
    <col min="2" max="3" width="24.6640625" style="67" customWidth="1"/>
    <col min="4" max="4" width="16" style="67" customWidth="1"/>
    <col min="5" max="5" width="24.6640625" style="67" customWidth="1"/>
    <col min="6" max="6" width="27.6640625" style="67" customWidth="1"/>
    <col min="7" max="8" width="24.6640625" style="67" customWidth="1"/>
    <col min="9" max="16384" width="11.44140625" style="67"/>
  </cols>
  <sheetData>
    <row r="1" spans="2:8" ht="15" thickBot="1" x14ac:dyDescent="0.35"/>
    <row r="2" spans="2:8" ht="18" x14ac:dyDescent="0.3">
      <c r="B2" s="238" t="s">
        <v>155</v>
      </c>
      <c r="C2" s="239"/>
      <c r="D2" s="239"/>
      <c r="E2" s="239"/>
      <c r="F2" s="239"/>
      <c r="G2" s="239"/>
      <c r="H2" s="240"/>
    </row>
    <row r="3" spans="2:8" x14ac:dyDescent="0.3">
      <c r="B3" s="68"/>
      <c r="C3" s="69"/>
      <c r="D3" s="69"/>
      <c r="E3" s="69"/>
      <c r="F3" s="69"/>
      <c r="G3" s="69"/>
      <c r="H3" s="70"/>
    </row>
    <row r="4" spans="2:8" ht="63" customHeight="1" x14ac:dyDescent="0.3">
      <c r="B4" s="241" t="s">
        <v>198</v>
      </c>
      <c r="C4" s="242"/>
      <c r="D4" s="242"/>
      <c r="E4" s="242"/>
      <c r="F4" s="242"/>
      <c r="G4" s="242"/>
      <c r="H4" s="243"/>
    </row>
    <row r="5" spans="2:8" ht="63" customHeight="1" x14ac:dyDescent="0.3">
      <c r="B5" s="244"/>
      <c r="C5" s="245"/>
      <c r="D5" s="245"/>
      <c r="E5" s="245"/>
      <c r="F5" s="245"/>
      <c r="G5" s="245"/>
      <c r="H5" s="246"/>
    </row>
    <row r="6" spans="2:8" x14ac:dyDescent="0.3">
      <c r="B6" s="247" t="s">
        <v>153</v>
      </c>
      <c r="C6" s="248"/>
      <c r="D6" s="248"/>
      <c r="E6" s="248"/>
      <c r="F6" s="248"/>
      <c r="G6" s="248"/>
      <c r="H6" s="249"/>
    </row>
    <row r="7" spans="2:8" ht="95.25" customHeight="1" x14ac:dyDescent="0.3">
      <c r="B7" s="257" t="s">
        <v>158</v>
      </c>
      <c r="C7" s="258"/>
      <c r="D7" s="258"/>
      <c r="E7" s="258"/>
      <c r="F7" s="258"/>
      <c r="G7" s="258"/>
      <c r="H7" s="259"/>
    </row>
    <row r="8" spans="2:8" x14ac:dyDescent="0.3">
      <c r="B8" s="102"/>
      <c r="C8" s="103"/>
      <c r="D8" s="103"/>
      <c r="E8" s="103"/>
      <c r="F8" s="103"/>
      <c r="G8" s="103"/>
      <c r="H8" s="104"/>
    </row>
    <row r="9" spans="2:8" ht="16.5" customHeight="1" x14ac:dyDescent="0.3">
      <c r="B9" s="250" t="s">
        <v>191</v>
      </c>
      <c r="C9" s="251"/>
      <c r="D9" s="251"/>
      <c r="E9" s="251"/>
      <c r="F9" s="251"/>
      <c r="G9" s="251"/>
      <c r="H9" s="252"/>
    </row>
    <row r="10" spans="2:8" ht="44.25" customHeight="1" x14ac:dyDescent="0.3">
      <c r="B10" s="250"/>
      <c r="C10" s="251"/>
      <c r="D10" s="251"/>
      <c r="E10" s="251"/>
      <c r="F10" s="251"/>
      <c r="G10" s="251"/>
      <c r="H10" s="252"/>
    </row>
    <row r="11" spans="2:8" ht="15" thickBot="1" x14ac:dyDescent="0.35">
      <c r="B11" s="91"/>
      <c r="C11" s="94"/>
      <c r="D11" s="99"/>
      <c r="E11" s="100"/>
      <c r="F11" s="100"/>
      <c r="G11" s="101"/>
      <c r="H11" s="95"/>
    </row>
    <row r="12" spans="2:8" ht="15" thickTop="1" x14ac:dyDescent="0.3">
      <c r="B12" s="91"/>
      <c r="C12" s="253" t="s">
        <v>154</v>
      </c>
      <c r="D12" s="254"/>
      <c r="E12" s="255" t="s">
        <v>192</v>
      </c>
      <c r="F12" s="256"/>
      <c r="G12" s="94"/>
      <c r="H12" s="95"/>
    </row>
    <row r="13" spans="2:8" ht="35.25" customHeight="1" x14ac:dyDescent="0.3">
      <c r="B13" s="91"/>
      <c r="C13" s="260" t="s">
        <v>185</v>
      </c>
      <c r="D13" s="261"/>
      <c r="E13" s="262" t="s">
        <v>190</v>
      </c>
      <c r="F13" s="263"/>
      <c r="G13" s="94"/>
      <c r="H13" s="95"/>
    </row>
    <row r="14" spans="2:8" ht="17.25" customHeight="1" x14ac:dyDescent="0.3">
      <c r="B14" s="91"/>
      <c r="C14" s="260" t="s">
        <v>186</v>
      </c>
      <c r="D14" s="261"/>
      <c r="E14" s="262" t="s">
        <v>188</v>
      </c>
      <c r="F14" s="263"/>
      <c r="G14" s="94"/>
      <c r="H14" s="95"/>
    </row>
    <row r="15" spans="2:8" ht="19.5" customHeight="1" x14ac:dyDescent="0.3">
      <c r="B15" s="91"/>
      <c r="C15" s="260" t="s">
        <v>187</v>
      </c>
      <c r="D15" s="261"/>
      <c r="E15" s="262" t="s">
        <v>189</v>
      </c>
      <c r="F15" s="263"/>
      <c r="G15" s="94"/>
      <c r="H15" s="95"/>
    </row>
    <row r="16" spans="2:8" ht="69.75" customHeight="1" x14ac:dyDescent="0.3">
      <c r="B16" s="91"/>
      <c r="C16" s="260" t="s">
        <v>156</v>
      </c>
      <c r="D16" s="261"/>
      <c r="E16" s="262" t="s">
        <v>157</v>
      </c>
      <c r="F16" s="263"/>
      <c r="G16" s="94"/>
      <c r="H16" s="95"/>
    </row>
    <row r="17" spans="2:8" ht="34.5" customHeight="1" x14ac:dyDescent="0.3">
      <c r="B17" s="91"/>
      <c r="C17" s="264" t="s">
        <v>2</v>
      </c>
      <c r="D17" s="265"/>
      <c r="E17" s="266" t="s">
        <v>199</v>
      </c>
      <c r="F17" s="267"/>
      <c r="G17" s="94"/>
      <c r="H17" s="95"/>
    </row>
    <row r="18" spans="2:8" ht="27.75" customHeight="1" x14ac:dyDescent="0.3">
      <c r="B18" s="91"/>
      <c r="C18" s="264" t="s">
        <v>3</v>
      </c>
      <c r="D18" s="265"/>
      <c r="E18" s="266" t="s">
        <v>200</v>
      </c>
      <c r="F18" s="267"/>
      <c r="G18" s="94"/>
      <c r="H18" s="95"/>
    </row>
    <row r="19" spans="2:8" ht="28.5" customHeight="1" x14ac:dyDescent="0.3">
      <c r="B19" s="91"/>
      <c r="C19" s="264" t="s">
        <v>42</v>
      </c>
      <c r="D19" s="265"/>
      <c r="E19" s="266" t="s">
        <v>201</v>
      </c>
      <c r="F19" s="267"/>
      <c r="G19" s="94"/>
      <c r="H19" s="95"/>
    </row>
    <row r="20" spans="2:8" ht="72.75" customHeight="1" x14ac:dyDescent="0.3">
      <c r="B20" s="91"/>
      <c r="C20" s="264" t="s">
        <v>1</v>
      </c>
      <c r="D20" s="265"/>
      <c r="E20" s="266" t="s">
        <v>202</v>
      </c>
      <c r="F20" s="267"/>
      <c r="G20" s="94"/>
      <c r="H20" s="95"/>
    </row>
    <row r="21" spans="2:8" ht="64.5" customHeight="1" x14ac:dyDescent="0.3">
      <c r="B21" s="91"/>
      <c r="C21" s="264" t="s">
        <v>50</v>
      </c>
      <c r="D21" s="265"/>
      <c r="E21" s="266" t="s">
        <v>160</v>
      </c>
      <c r="F21" s="267"/>
      <c r="G21" s="94"/>
      <c r="H21" s="95"/>
    </row>
    <row r="22" spans="2:8" ht="71.25" customHeight="1" x14ac:dyDescent="0.3">
      <c r="B22" s="91"/>
      <c r="C22" s="264" t="s">
        <v>159</v>
      </c>
      <c r="D22" s="265"/>
      <c r="E22" s="266" t="s">
        <v>161</v>
      </c>
      <c r="F22" s="267"/>
      <c r="G22" s="94"/>
      <c r="H22" s="95"/>
    </row>
    <row r="23" spans="2:8" ht="55.5" customHeight="1" x14ac:dyDescent="0.3">
      <c r="B23" s="91"/>
      <c r="C23" s="271" t="s">
        <v>162</v>
      </c>
      <c r="D23" s="272"/>
      <c r="E23" s="266" t="s">
        <v>163</v>
      </c>
      <c r="F23" s="267"/>
      <c r="G23" s="94"/>
      <c r="H23" s="95"/>
    </row>
    <row r="24" spans="2:8" ht="42" customHeight="1" x14ac:dyDescent="0.3">
      <c r="B24" s="91"/>
      <c r="C24" s="271" t="s">
        <v>48</v>
      </c>
      <c r="D24" s="272"/>
      <c r="E24" s="266" t="s">
        <v>164</v>
      </c>
      <c r="F24" s="267"/>
      <c r="G24" s="94"/>
      <c r="H24" s="95"/>
    </row>
    <row r="25" spans="2:8" ht="59.25" customHeight="1" x14ac:dyDescent="0.3">
      <c r="B25" s="91"/>
      <c r="C25" s="271" t="s">
        <v>152</v>
      </c>
      <c r="D25" s="272"/>
      <c r="E25" s="266" t="s">
        <v>165</v>
      </c>
      <c r="F25" s="267"/>
      <c r="G25" s="94"/>
      <c r="H25" s="95"/>
    </row>
    <row r="26" spans="2:8" ht="23.25" customHeight="1" x14ac:dyDescent="0.3">
      <c r="B26" s="91"/>
      <c r="C26" s="271" t="s">
        <v>12</v>
      </c>
      <c r="D26" s="272"/>
      <c r="E26" s="266" t="s">
        <v>166</v>
      </c>
      <c r="F26" s="267"/>
      <c r="G26" s="94"/>
      <c r="H26" s="95"/>
    </row>
    <row r="27" spans="2:8" ht="30.75" customHeight="1" x14ac:dyDescent="0.3">
      <c r="B27" s="91"/>
      <c r="C27" s="271" t="s">
        <v>170</v>
      </c>
      <c r="D27" s="272"/>
      <c r="E27" s="266" t="s">
        <v>167</v>
      </c>
      <c r="F27" s="267"/>
      <c r="G27" s="94"/>
      <c r="H27" s="95"/>
    </row>
    <row r="28" spans="2:8" ht="35.25" customHeight="1" x14ac:dyDescent="0.3">
      <c r="B28" s="91"/>
      <c r="C28" s="271" t="s">
        <v>171</v>
      </c>
      <c r="D28" s="272"/>
      <c r="E28" s="266" t="s">
        <v>168</v>
      </c>
      <c r="F28" s="267"/>
      <c r="G28" s="94"/>
      <c r="H28" s="95"/>
    </row>
    <row r="29" spans="2:8" ht="33" customHeight="1" x14ac:dyDescent="0.3">
      <c r="B29" s="91"/>
      <c r="C29" s="271" t="s">
        <v>171</v>
      </c>
      <c r="D29" s="272"/>
      <c r="E29" s="266" t="s">
        <v>168</v>
      </c>
      <c r="F29" s="267"/>
      <c r="G29" s="94"/>
      <c r="H29" s="95"/>
    </row>
    <row r="30" spans="2:8" ht="30" customHeight="1" x14ac:dyDescent="0.3">
      <c r="B30" s="91"/>
      <c r="C30" s="271" t="s">
        <v>172</v>
      </c>
      <c r="D30" s="272"/>
      <c r="E30" s="266" t="s">
        <v>169</v>
      </c>
      <c r="F30" s="267"/>
      <c r="G30" s="94"/>
      <c r="H30" s="95"/>
    </row>
    <row r="31" spans="2:8" ht="35.25" customHeight="1" x14ac:dyDescent="0.3">
      <c r="B31" s="91"/>
      <c r="C31" s="271" t="s">
        <v>173</v>
      </c>
      <c r="D31" s="272"/>
      <c r="E31" s="266" t="s">
        <v>174</v>
      </c>
      <c r="F31" s="267"/>
      <c r="G31" s="94"/>
      <c r="H31" s="95"/>
    </row>
    <row r="32" spans="2:8" ht="31.5" customHeight="1" x14ac:dyDescent="0.3">
      <c r="B32" s="91"/>
      <c r="C32" s="271" t="s">
        <v>175</v>
      </c>
      <c r="D32" s="272"/>
      <c r="E32" s="266" t="s">
        <v>176</v>
      </c>
      <c r="F32" s="267"/>
      <c r="G32" s="94"/>
      <c r="H32" s="95"/>
    </row>
    <row r="33" spans="2:8" ht="35.25" customHeight="1" x14ac:dyDescent="0.3">
      <c r="B33" s="91"/>
      <c r="C33" s="271" t="s">
        <v>177</v>
      </c>
      <c r="D33" s="272"/>
      <c r="E33" s="266" t="s">
        <v>178</v>
      </c>
      <c r="F33" s="267"/>
      <c r="G33" s="94"/>
      <c r="H33" s="95"/>
    </row>
    <row r="34" spans="2:8" ht="59.25" customHeight="1" x14ac:dyDescent="0.3">
      <c r="B34" s="91"/>
      <c r="C34" s="271" t="s">
        <v>179</v>
      </c>
      <c r="D34" s="272"/>
      <c r="E34" s="266" t="s">
        <v>180</v>
      </c>
      <c r="F34" s="267"/>
      <c r="G34" s="94"/>
      <c r="H34" s="95"/>
    </row>
    <row r="35" spans="2:8" ht="29.25" customHeight="1" x14ac:dyDescent="0.3">
      <c r="B35" s="91"/>
      <c r="C35" s="271" t="s">
        <v>29</v>
      </c>
      <c r="D35" s="272"/>
      <c r="E35" s="266" t="s">
        <v>181</v>
      </c>
      <c r="F35" s="267"/>
      <c r="G35" s="94"/>
      <c r="H35" s="95"/>
    </row>
    <row r="36" spans="2:8" ht="82.5" customHeight="1" x14ac:dyDescent="0.3">
      <c r="B36" s="91"/>
      <c r="C36" s="271" t="s">
        <v>183</v>
      </c>
      <c r="D36" s="272"/>
      <c r="E36" s="266" t="s">
        <v>182</v>
      </c>
      <c r="F36" s="267"/>
      <c r="G36" s="94"/>
      <c r="H36" s="95"/>
    </row>
    <row r="37" spans="2:8" ht="46.5" customHeight="1" x14ac:dyDescent="0.3">
      <c r="B37" s="91"/>
      <c r="C37" s="271" t="s">
        <v>39</v>
      </c>
      <c r="D37" s="272"/>
      <c r="E37" s="266" t="s">
        <v>184</v>
      </c>
      <c r="F37" s="267"/>
      <c r="G37" s="94"/>
      <c r="H37" s="95"/>
    </row>
    <row r="38" spans="2:8" ht="6.75" customHeight="1" thickBot="1" x14ac:dyDescent="0.35">
      <c r="B38" s="91"/>
      <c r="C38" s="273"/>
      <c r="D38" s="274"/>
      <c r="E38" s="275"/>
      <c r="F38" s="276"/>
      <c r="G38" s="94"/>
      <c r="H38" s="95"/>
    </row>
    <row r="39" spans="2:8" ht="15" thickTop="1" x14ac:dyDescent="0.3">
      <c r="B39" s="91"/>
      <c r="C39" s="92"/>
      <c r="D39" s="92"/>
      <c r="E39" s="93"/>
      <c r="F39" s="93"/>
      <c r="G39" s="94"/>
      <c r="H39" s="95"/>
    </row>
    <row r="40" spans="2:8" ht="21" customHeight="1" x14ac:dyDescent="0.3">
      <c r="B40" s="268" t="s">
        <v>193</v>
      </c>
      <c r="C40" s="269"/>
      <c r="D40" s="269"/>
      <c r="E40" s="269"/>
      <c r="F40" s="269"/>
      <c r="G40" s="269"/>
      <c r="H40" s="270"/>
    </row>
    <row r="41" spans="2:8" ht="20.25" customHeight="1" x14ac:dyDescent="0.3">
      <c r="B41" s="268" t="s">
        <v>194</v>
      </c>
      <c r="C41" s="269"/>
      <c r="D41" s="269"/>
      <c r="E41" s="269"/>
      <c r="F41" s="269"/>
      <c r="G41" s="269"/>
      <c r="H41" s="270"/>
    </row>
    <row r="42" spans="2:8" ht="20.25" customHeight="1" x14ac:dyDescent="0.3">
      <c r="B42" s="268" t="s">
        <v>195</v>
      </c>
      <c r="C42" s="269"/>
      <c r="D42" s="269"/>
      <c r="E42" s="269"/>
      <c r="F42" s="269"/>
      <c r="G42" s="269"/>
      <c r="H42" s="270"/>
    </row>
    <row r="43" spans="2:8" ht="20.25" customHeight="1" x14ac:dyDescent="0.3">
      <c r="B43" s="268" t="s">
        <v>196</v>
      </c>
      <c r="C43" s="269"/>
      <c r="D43" s="269"/>
      <c r="E43" s="269"/>
      <c r="F43" s="269"/>
      <c r="G43" s="269"/>
      <c r="H43" s="270"/>
    </row>
    <row r="44" spans="2:8" x14ac:dyDescent="0.3">
      <c r="B44" s="268" t="s">
        <v>197</v>
      </c>
      <c r="C44" s="269"/>
      <c r="D44" s="269"/>
      <c r="E44" s="269"/>
      <c r="F44" s="269"/>
      <c r="G44" s="269"/>
      <c r="H44" s="270"/>
    </row>
    <row r="45" spans="2:8" ht="15" thickBot="1" x14ac:dyDescent="0.35">
      <c r="B45" s="96"/>
      <c r="C45" s="97"/>
      <c r="D45" s="97"/>
      <c r="E45" s="97"/>
      <c r="F45" s="97"/>
      <c r="G45" s="97"/>
      <c r="H45" s="98"/>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249977111117893"/>
  </sheetPr>
  <dimension ref="B1:F16"/>
  <sheetViews>
    <sheetView topLeftCell="C1" workbookViewId="0">
      <selection activeCell="G7" sqref="G7"/>
    </sheetView>
  </sheetViews>
  <sheetFormatPr baseColWidth="10" defaultColWidth="14.33203125" defaultRowHeight="13.8" x14ac:dyDescent="0.3"/>
  <cols>
    <col min="1" max="2" width="14.33203125" style="72"/>
    <col min="3" max="3" width="17" style="72" customWidth="1"/>
    <col min="4" max="4" width="14.33203125" style="72"/>
    <col min="5" max="5" width="46" style="72" customWidth="1"/>
    <col min="6" max="16384" width="14.33203125" style="72"/>
  </cols>
  <sheetData>
    <row r="1" spans="2:6" ht="24" customHeight="1" thickBot="1" x14ac:dyDescent="0.35">
      <c r="B1" s="621" t="s">
        <v>77</v>
      </c>
      <c r="C1" s="622"/>
      <c r="D1" s="622"/>
      <c r="E1" s="622"/>
      <c r="F1" s="623"/>
    </row>
    <row r="2" spans="2:6" ht="16.2" thickBot="1" x14ac:dyDescent="0.35">
      <c r="B2" s="73"/>
      <c r="C2" s="73"/>
      <c r="D2" s="73"/>
      <c r="E2" s="73"/>
      <c r="F2" s="73"/>
    </row>
    <row r="3" spans="2:6" ht="16.2" thickBot="1" x14ac:dyDescent="0.35">
      <c r="B3" s="625" t="s">
        <v>63</v>
      </c>
      <c r="C3" s="626"/>
      <c r="D3" s="626"/>
      <c r="E3" s="85" t="s">
        <v>64</v>
      </c>
      <c r="F3" s="86" t="s">
        <v>65</v>
      </c>
    </row>
    <row r="4" spans="2:6" ht="31.2" x14ac:dyDescent="0.3">
      <c r="B4" s="627" t="s">
        <v>66</v>
      </c>
      <c r="C4" s="629" t="s">
        <v>13</v>
      </c>
      <c r="D4" s="74" t="s">
        <v>14</v>
      </c>
      <c r="E4" s="75" t="s">
        <v>67</v>
      </c>
      <c r="F4" s="76">
        <v>0.25</v>
      </c>
    </row>
    <row r="5" spans="2:6" ht="46.8" x14ac:dyDescent="0.3">
      <c r="B5" s="628"/>
      <c r="C5" s="630"/>
      <c r="D5" s="77" t="s">
        <v>15</v>
      </c>
      <c r="E5" s="78" t="s">
        <v>68</v>
      </c>
      <c r="F5" s="79">
        <v>0.15</v>
      </c>
    </row>
    <row r="6" spans="2:6" ht="46.8" x14ac:dyDescent="0.3">
      <c r="B6" s="628"/>
      <c r="C6" s="630"/>
      <c r="D6" s="77" t="s">
        <v>16</v>
      </c>
      <c r="E6" s="78" t="s">
        <v>69</v>
      </c>
      <c r="F6" s="79">
        <v>0.1</v>
      </c>
    </row>
    <row r="7" spans="2:6" ht="62.4" x14ac:dyDescent="0.3">
      <c r="B7" s="628"/>
      <c r="C7" s="630" t="s">
        <v>17</v>
      </c>
      <c r="D7" s="77" t="s">
        <v>10</v>
      </c>
      <c r="E7" s="78" t="s">
        <v>70</v>
      </c>
      <c r="F7" s="79">
        <v>0.25</v>
      </c>
    </row>
    <row r="8" spans="2:6" ht="31.2" x14ac:dyDescent="0.3">
      <c r="B8" s="628"/>
      <c r="C8" s="630"/>
      <c r="D8" s="77" t="s">
        <v>9</v>
      </c>
      <c r="E8" s="78" t="s">
        <v>71</v>
      </c>
      <c r="F8" s="79">
        <v>0.15</v>
      </c>
    </row>
    <row r="9" spans="2:6" ht="46.8" x14ac:dyDescent="0.3">
      <c r="B9" s="628" t="s">
        <v>151</v>
      </c>
      <c r="C9" s="630" t="s">
        <v>18</v>
      </c>
      <c r="D9" s="77" t="s">
        <v>19</v>
      </c>
      <c r="E9" s="78" t="s">
        <v>72</v>
      </c>
      <c r="F9" s="80" t="s">
        <v>73</v>
      </c>
    </row>
    <row r="10" spans="2:6" ht="46.8" x14ac:dyDescent="0.3">
      <c r="B10" s="628"/>
      <c r="C10" s="630"/>
      <c r="D10" s="77" t="s">
        <v>20</v>
      </c>
      <c r="E10" s="78" t="s">
        <v>74</v>
      </c>
      <c r="F10" s="80" t="s">
        <v>73</v>
      </c>
    </row>
    <row r="11" spans="2:6" ht="46.8" x14ac:dyDescent="0.3">
      <c r="B11" s="628"/>
      <c r="C11" s="630" t="s">
        <v>21</v>
      </c>
      <c r="D11" s="77" t="s">
        <v>22</v>
      </c>
      <c r="E11" s="78" t="s">
        <v>75</v>
      </c>
      <c r="F11" s="80" t="s">
        <v>73</v>
      </c>
    </row>
    <row r="12" spans="2:6" ht="46.8" x14ac:dyDescent="0.3">
      <c r="B12" s="628"/>
      <c r="C12" s="630"/>
      <c r="D12" s="77" t="s">
        <v>23</v>
      </c>
      <c r="E12" s="78" t="s">
        <v>76</v>
      </c>
      <c r="F12" s="80" t="s">
        <v>73</v>
      </c>
    </row>
    <row r="13" spans="2:6" ht="31.2" x14ac:dyDescent="0.3">
      <c r="B13" s="628"/>
      <c r="C13" s="630" t="s">
        <v>24</v>
      </c>
      <c r="D13" s="77" t="s">
        <v>114</v>
      </c>
      <c r="E13" s="78" t="s">
        <v>117</v>
      </c>
      <c r="F13" s="80" t="s">
        <v>73</v>
      </c>
    </row>
    <row r="14" spans="2:6" ht="16.2" thickBot="1" x14ac:dyDescent="0.35">
      <c r="B14" s="631"/>
      <c r="C14" s="632"/>
      <c r="D14" s="81" t="s">
        <v>115</v>
      </c>
      <c r="E14" s="82" t="s">
        <v>116</v>
      </c>
      <c r="F14" s="83" t="s">
        <v>73</v>
      </c>
    </row>
    <row r="15" spans="2:6" ht="49.5" customHeight="1" x14ac:dyDescent="0.3">
      <c r="B15" s="624" t="s">
        <v>148</v>
      </c>
      <c r="C15" s="624"/>
      <c r="D15" s="624"/>
      <c r="E15" s="624"/>
      <c r="F15" s="624"/>
    </row>
    <row r="16" spans="2:6" ht="27" customHeight="1" x14ac:dyDescent="0.3">
      <c r="B16" s="84"/>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RowHeight="14.4" x14ac:dyDescent="0.3"/>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election activeCell="G30" sqref="G30"/>
    </sheetView>
  </sheetViews>
  <sheetFormatPr baseColWidth="10" defaultRowHeight="14.4" x14ac:dyDescent="0.3"/>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E19"/>
  <sheetViews>
    <sheetView workbookViewId="0"/>
  </sheetViews>
  <sheetFormatPr baseColWidth="10" defaultRowHeight="14.4" x14ac:dyDescent="0.3"/>
  <sheetData>
    <row r="2" spans="2:5" x14ac:dyDescent="0.3">
      <c r="B2" t="s">
        <v>31</v>
      </c>
      <c r="E2" t="s">
        <v>128</v>
      </c>
    </row>
    <row r="3" spans="2:5" x14ac:dyDescent="0.3">
      <c r="B3" t="s">
        <v>32</v>
      </c>
      <c r="E3" t="s">
        <v>127</v>
      </c>
    </row>
    <row r="4" spans="2:5" x14ac:dyDescent="0.3">
      <c r="B4" t="s">
        <v>132</v>
      </c>
      <c r="E4" t="s">
        <v>129</v>
      </c>
    </row>
    <row r="5" spans="2:5" x14ac:dyDescent="0.3">
      <c r="B5" t="s">
        <v>131</v>
      </c>
    </row>
    <row r="8" spans="2:5" x14ac:dyDescent="0.3">
      <c r="B8" t="s">
        <v>85</v>
      </c>
    </row>
    <row r="9" spans="2:5" x14ac:dyDescent="0.3">
      <c r="B9" t="s">
        <v>40</v>
      </c>
    </row>
    <row r="10" spans="2:5" x14ac:dyDescent="0.3">
      <c r="B10" t="s">
        <v>41</v>
      </c>
    </row>
    <row r="13" spans="2:5" x14ac:dyDescent="0.3">
      <c r="B13" t="s">
        <v>124</v>
      </c>
    </row>
    <row r="14" spans="2:5" x14ac:dyDescent="0.3">
      <c r="B14" t="s">
        <v>118</v>
      </c>
    </row>
    <row r="15" spans="2:5" x14ac:dyDescent="0.3">
      <c r="B15" t="s">
        <v>121</v>
      </c>
    </row>
    <row r="16" spans="2:5" x14ac:dyDescent="0.3">
      <c r="B16" t="s">
        <v>119</v>
      </c>
    </row>
    <row r="17" spans="2:2" x14ac:dyDescent="0.3">
      <c r="B17" t="s">
        <v>120</v>
      </c>
    </row>
    <row r="18" spans="2:2" x14ac:dyDescent="0.3">
      <c r="B18" t="s">
        <v>122</v>
      </c>
    </row>
    <row r="19" spans="2:2" x14ac:dyDescent="0.3">
      <c r="B19" t="s">
        <v>123</v>
      </c>
    </row>
  </sheetData>
  <sortState xmlns:xlrd2="http://schemas.microsoft.com/office/spreadsheetml/2017/richdata2" ref="B2:B5">
    <sortCondition ref="B2:B5"/>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3:A21"/>
  <sheetViews>
    <sheetView workbookViewId="0"/>
  </sheetViews>
  <sheetFormatPr baseColWidth="10" defaultColWidth="11.44140625" defaultRowHeight="13.8" x14ac:dyDescent="0.3"/>
  <cols>
    <col min="1" max="1" width="32.88671875" style="9" customWidth="1"/>
    <col min="2" max="16384" width="11.44140625" style="9"/>
  </cols>
  <sheetData>
    <row r="3" spans="1:1" x14ac:dyDescent="0.3">
      <c r="A3" s="10" t="s">
        <v>14</v>
      </c>
    </row>
    <row r="4" spans="1:1" x14ac:dyDescent="0.3">
      <c r="A4" s="10" t="s">
        <v>15</v>
      </c>
    </row>
    <row r="5" spans="1:1" x14ac:dyDescent="0.3">
      <c r="A5" s="10" t="s">
        <v>16</v>
      </c>
    </row>
    <row r="6" spans="1:1" x14ac:dyDescent="0.3">
      <c r="A6" s="10" t="s">
        <v>10</v>
      </c>
    </row>
    <row r="7" spans="1:1" x14ac:dyDescent="0.3">
      <c r="A7" s="10" t="s">
        <v>9</v>
      </c>
    </row>
    <row r="8" spans="1:1" x14ac:dyDescent="0.3">
      <c r="A8" s="10" t="s">
        <v>19</v>
      </c>
    </row>
    <row r="9" spans="1:1" x14ac:dyDescent="0.3">
      <c r="A9" s="10" t="s">
        <v>20</v>
      </c>
    </row>
    <row r="10" spans="1:1" x14ac:dyDescent="0.3">
      <c r="A10" s="10" t="s">
        <v>22</v>
      </c>
    </row>
    <row r="11" spans="1:1" x14ac:dyDescent="0.3">
      <c r="A11" s="10" t="s">
        <v>23</v>
      </c>
    </row>
    <row r="12" spans="1:1" x14ac:dyDescent="0.3">
      <c r="A12" s="10" t="s">
        <v>25</v>
      </c>
    </row>
    <row r="13" spans="1:1" x14ac:dyDescent="0.3">
      <c r="A13" s="10" t="s">
        <v>26</v>
      </c>
    </row>
    <row r="14" spans="1:1" x14ac:dyDescent="0.3">
      <c r="A14" s="10" t="s">
        <v>27</v>
      </c>
    </row>
    <row r="16" spans="1:1" x14ac:dyDescent="0.3">
      <c r="A16" s="10" t="s">
        <v>30</v>
      </c>
    </row>
    <row r="17" spans="1:1" x14ac:dyDescent="0.3">
      <c r="A17" s="10" t="s">
        <v>31</v>
      </c>
    </row>
    <row r="18" spans="1:1" x14ac:dyDescent="0.3">
      <c r="A18" s="10" t="s">
        <v>32</v>
      </c>
    </row>
    <row r="20" spans="1:1" x14ac:dyDescent="0.3">
      <c r="A20" s="10" t="s">
        <v>40</v>
      </c>
    </row>
    <row r="21" spans="1:1" x14ac:dyDescent="0.3">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3"/>
  <sheetViews>
    <sheetView workbookViewId="0">
      <selection activeCell="C12" sqref="C12"/>
    </sheetView>
  </sheetViews>
  <sheetFormatPr baseColWidth="10" defaultColWidth="11.44140625" defaultRowHeight="13.8" x14ac:dyDescent="0.25"/>
  <cols>
    <col min="1" max="1" width="29.44140625" style="148" customWidth="1"/>
    <col min="2" max="2" width="29.109375" style="148" customWidth="1"/>
    <col min="3" max="3" width="30.33203125" style="148" customWidth="1"/>
    <col min="4" max="4" width="31.88671875" style="148" customWidth="1"/>
    <col min="5" max="5" width="32.5546875" style="148" customWidth="1"/>
    <col min="6" max="6" width="32" style="148" customWidth="1"/>
    <col min="7" max="16384" width="11.44140625" style="148"/>
  </cols>
  <sheetData>
    <row r="1" spans="1:10" ht="15" customHeight="1" x14ac:dyDescent="0.25">
      <c r="A1" s="292"/>
      <c r="B1" s="294" t="s">
        <v>272</v>
      </c>
      <c r="C1" s="294"/>
      <c r="D1" s="294"/>
      <c r="E1" s="146" t="s">
        <v>265</v>
      </c>
      <c r="F1" s="295"/>
      <c r="G1" s="147"/>
      <c r="J1" s="277"/>
    </row>
    <row r="2" spans="1:10" ht="15" customHeight="1" x14ac:dyDescent="0.25">
      <c r="A2" s="293"/>
      <c r="B2" s="278"/>
      <c r="C2" s="278"/>
      <c r="D2" s="278"/>
      <c r="E2" s="150" t="s">
        <v>264</v>
      </c>
      <c r="F2" s="296"/>
      <c r="G2" s="147"/>
      <c r="J2" s="277"/>
    </row>
    <row r="3" spans="1:10" ht="15" customHeight="1" x14ac:dyDescent="0.25">
      <c r="A3" s="293"/>
      <c r="B3" s="278" t="s">
        <v>263</v>
      </c>
      <c r="C3" s="278"/>
      <c r="D3" s="278"/>
      <c r="E3" s="150" t="s">
        <v>267</v>
      </c>
      <c r="F3" s="296"/>
      <c r="G3" s="147"/>
      <c r="J3" s="277"/>
    </row>
    <row r="4" spans="1:10" ht="15.75" customHeight="1" x14ac:dyDescent="0.25">
      <c r="A4" s="293"/>
      <c r="B4" s="278"/>
      <c r="C4" s="278"/>
      <c r="D4" s="278"/>
      <c r="E4" s="150" t="s">
        <v>266</v>
      </c>
      <c r="F4" s="296"/>
      <c r="G4" s="147"/>
      <c r="J4" s="277"/>
    </row>
    <row r="5" spans="1:10" ht="15.75" customHeight="1" x14ac:dyDescent="0.25">
      <c r="A5" s="279"/>
      <c r="B5" s="280"/>
      <c r="C5" s="280"/>
      <c r="D5" s="280"/>
      <c r="E5" s="280"/>
      <c r="F5" s="281"/>
      <c r="G5" s="147"/>
      <c r="J5" s="149"/>
    </row>
    <row r="6" spans="1:10" ht="15" customHeight="1" x14ac:dyDescent="0.25">
      <c r="A6" s="282" t="s">
        <v>215</v>
      </c>
      <c r="B6" s="283"/>
      <c r="C6" s="283"/>
      <c r="D6" s="283"/>
      <c r="E6" s="283"/>
      <c r="F6" s="284"/>
    </row>
    <row r="7" spans="1:10" ht="15.75" customHeight="1" x14ac:dyDescent="0.25">
      <c r="A7" s="282"/>
      <c r="B7" s="283"/>
      <c r="C7" s="283"/>
      <c r="D7" s="283"/>
      <c r="E7" s="283"/>
      <c r="F7" s="284"/>
    </row>
    <row r="8" spans="1:10" ht="27" customHeight="1" x14ac:dyDescent="0.25">
      <c r="A8" s="285" t="s">
        <v>311</v>
      </c>
      <c r="B8" s="286"/>
      <c r="C8" s="286"/>
      <c r="D8" s="286"/>
      <c r="E8" s="286"/>
      <c r="F8" s="287"/>
    </row>
    <row r="9" spans="1:10" ht="77.25" customHeight="1" thickBot="1" x14ac:dyDescent="0.3">
      <c r="A9" s="288" t="s">
        <v>312</v>
      </c>
      <c r="B9" s="289"/>
      <c r="C9" s="289"/>
      <c r="D9" s="289"/>
      <c r="E9" s="289"/>
      <c r="F9" s="290"/>
    </row>
    <row r="10" spans="1:10" ht="18.75" customHeight="1" thickBot="1" x14ac:dyDescent="0.3">
      <c r="A10" s="291"/>
      <c r="B10" s="291"/>
      <c r="C10" s="291"/>
      <c r="D10" s="291"/>
      <c r="E10" s="291"/>
      <c r="F10" s="291"/>
    </row>
    <row r="11" spans="1:10" ht="22.5" customHeight="1" thickBot="1" x14ac:dyDescent="0.3">
      <c r="A11" s="151" t="s">
        <v>216</v>
      </c>
      <c r="B11" s="152" t="s">
        <v>217</v>
      </c>
      <c r="C11" s="152" t="s">
        <v>218</v>
      </c>
      <c r="D11" s="152" t="s">
        <v>217</v>
      </c>
      <c r="E11" s="152" t="s">
        <v>219</v>
      </c>
      <c r="F11" s="153" t="s">
        <v>217</v>
      </c>
    </row>
    <row r="12" spans="1:10" ht="75" customHeight="1" x14ac:dyDescent="0.25">
      <c r="A12" s="154" t="s">
        <v>221</v>
      </c>
      <c r="B12" s="207" t="s">
        <v>273</v>
      </c>
      <c r="C12" s="155" t="s">
        <v>274</v>
      </c>
      <c r="D12" s="208" t="s">
        <v>275</v>
      </c>
      <c r="E12" s="155" t="s">
        <v>276</v>
      </c>
      <c r="F12" s="209" t="s">
        <v>277</v>
      </c>
    </row>
    <row r="13" spans="1:10" ht="60" customHeight="1" x14ac:dyDescent="0.25">
      <c r="A13" s="156" t="s">
        <v>278</v>
      </c>
      <c r="B13" s="210" t="s">
        <v>279</v>
      </c>
      <c r="C13" s="157" t="s">
        <v>280</v>
      </c>
      <c r="D13" s="208" t="s">
        <v>281</v>
      </c>
      <c r="E13" s="157" t="s">
        <v>282</v>
      </c>
      <c r="F13" s="209" t="s">
        <v>283</v>
      </c>
    </row>
    <row r="14" spans="1:10" ht="82.5" customHeight="1" x14ac:dyDescent="0.25">
      <c r="A14" s="156" t="s">
        <v>220</v>
      </c>
      <c r="B14" s="211" t="s">
        <v>284</v>
      </c>
      <c r="C14" s="157" t="s">
        <v>280</v>
      </c>
      <c r="D14" s="212" t="s">
        <v>285</v>
      </c>
      <c r="E14" s="157" t="s">
        <v>286</v>
      </c>
      <c r="F14" s="209" t="s">
        <v>287</v>
      </c>
    </row>
    <row r="15" spans="1:10" ht="73.5" customHeight="1" x14ac:dyDescent="0.25">
      <c r="A15" s="156" t="s">
        <v>222</v>
      </c>
      <c r="B15" s="213" t="s">
        <v>288</v>
      </c>
      <c r="C15" s="157" t="s">
        <v>280</v>
      </c>
      <c r="D15" s="214" t="s">
        <v>289</v>
      </c>
      <c r="E15" s="157" t="s">
        <v>290</v>
      </c>
      <c r="F15" s="209" t="s">
        <v>291</v>
      </c>
    </row>
    <row r="16" spans="1:10" ht="59.25" customHeight="1" x14ac:dyDescent="0.25">
      <c r="A16" s="156" t="s">
        <v>223</v>
      </c>
      <c r="B16" s="213" t="s">
        <v>292</v>
      </c>
      <c r="C16" s="157" t="s">
        <v>280</v>
      </c>
      <c r="D16" s="215" t="s">
        <v>293</v>
      </c>
      <c r="E16" s="157" t="s">
        <v>282</v>
      </c>
      <c r="F16" s="216" t="s">
        <v>294</v>
      </c>
    </row>
    <row r="17" spans="1:6" ht="69.75" customHeight="1" x14ac:dyDescent="0.25">
      <c r="A17" s="156"/>
      <c r="B17" s="160"/>
      <c r="C17" s="157" t="s">
        <v>295</v>
      </c>
      <c r="D17" s="215" t="s">
        <v>296</v>
      </c>
      <c r="E17" s="157" t="s">
        <v>282</v>
      </c>
      <c r="F17" s="216" t="s">
        <v>297</v>
      </c>
    </row>
    <row r="18" spans="1:6" ht="66.75" customHeight="1" x14ac:dyDescent="0.25">
      <c r="A18" s="156"/>
      <c r="B18" s="160"/>
      <c r="C18" s="157" t="s">
        <v>298</v>
      </c>
      <c r="D18" s="217" t="s">
        <v>299</v>
      </c>
      <c r="E18" s="157" t="s">
        <v>282</v>
      </c>
      <c r="F18" s="216" t="s">
        <v>300</v>
      </c>
    </row>
    <row r="19" spans="1:6" ht="73.5" customHeight="1" x14ac:dyDescent="0.25">
      <c r="A19" s="156"/>
      <c r="B19" s="158"/>
      <c r="C19" s="157" t="s">
        <v>301</v>
      </c>
      <c r="D19" s="217" t="s">
        <v>302</v>
      </c>
      <c r="E19" s="157" t="s">
        <v>282</v>
      </c>
      <c r="F19" s="216" t="s">
        <v>303</v>
      </c>
    </row>
    <row r="20" spans="1:6" ht="65.25" customHeight="1" x14ac:dyDescent="0.3">
      <c r="A20" s="156"/>
      <c r="B20" s="158"/>
      <c r="C20" s="157" t="s">
        <v>304</v>
      </c>
      <c r="D20" s="217" t="s">
        <v>305</v>
      </c>
      <c r="E20" s="157" t="s">
        <v>306</v>
      </c>
      <c r="F20" s="218" t="s">
        <v>307</v>
      </c>
    </row>
    <row r="21" spans="1:6" ht="66.75" customHeight="1" x14ac:dyDescent="0.25">
      <c r="A21" s="156"/>
      <c r="B21" s="158"/>
      <c r="C21" s="157" t="s">
        <v>308</v>
      </c>
      <c r="D21" s="217" t="s">
        <v>309</v>
      </c>
      <c r="E21" s="157" t="s">
        <v>306</v>
      </c>
      <c r="F21" s="219" t="s">
        <v>310</v>
      </c>
    </row>
    <row r="22" spans="1:6" ht="69" customHeight="1" x14ac:dyDescent="0.25">
      <c r="A22" s="156"/>
      <c r="B22" s="158"/>
      <c r="C22" s="157"/>
      <c r="D22" s="161"/>
      <c r="E22" s="157"/>
      <c r="F22" s="159"/>
    </row>
    <row r="23" spans="1:6" ht="61.5" customHeight="1" x14ac:dyDescent="0.25">
      <c r="A23" s="156"/>
      <c r="B23" s="158"/>
      <c r="C23" s="157"/>
      <c r="D23" s="161"/>
      <c r="E23" s="157"/>
      <c r="F23" s="159"/>
    </row>
    <row r="24" spans="1:6" ht="57.75" customHeight="1" x14ac:dyDescent="0.25">
      <c r="A24" s="156"/>
      <c r="B24" s="158"/>
      <c r="C24" s="157"/>
      <c r="D24" s="161"/>
      <c r="E24" s="157"/>
      <c r="F24" s="159"/>
    </row>
    <row r="25" spans="1:6" ht="62.25" customHeight="1" x14ac:dyDescent="0.25">
      <c r="A25" s="156"/>
      <c r="B25" s="158"/>
      <c r="C25" s="157"/>
      <c r="D25" s="161"/>
      <c r="E25" s="157"/>
      <c r="F25" s="159"/>
    </row>
    <row r="26" spans="1:6" ht="56.25" customHeight="1" thickBot="1" x14ac:dyDescent="0.3">
      <c r="A26" s="162"/>
      <c r="B26" s="163"/>
      <c r="C26" s="164"/>
      <c r="D26" s="165"/>
      <c r="E26" s="164"/>
      <c r="F26" s="166"/>
    </row>
    <row r="27" spans="1:6" ht="65.25" customHeight="1" x14ac:dyDescent="0.25">
      <c r="A27" s="167"/>
      <c r="B27" s="168"/>
      <c r="C27" s="167"/>
      <c r="D27" s="169"/>
      <c r="E27" s="167"/>
      <c r="F27" s="169"/>
    </row>
    <row r="28" spans="1:6" ht="62.25" customHeight="1" x14ac:dyDescent="0.25">
      <c r="A28" s="167"/>
      <c r="B28" s="168"/>
      <c r="C28" s="167"/>
      <c r="D28" s="169"/>
      <c r="E28" s="167"/>
      <c r="F28" s="169"/>
    </row>
    <row r="29" spans="1:6" ht="63" customHeight="1" x14ac:dyDescent="0.25">
      <c r="A29" s="167"/>
      <c r="B29" s="168"/>
      <c r="C29" s="167"/>
      <c r="D29" s="169"/>
      <c r="E29" s="167"/>
      <c r="F29" s="168"/>
    </row>
    <row r="30" spans="1:6" ht="51.75" customHeight="1" x14ac:dyDescent="0.25">
      <c r="A30" s="167"/>
      <c r="B30" s="168"/>
      <c r="C30" s="167"/>
      <c r="D30" s="169"/>
      <c r="E30" s="167"/>
      <c r="F30" s="168"/>
    </row>
    <row r="31" spans="1:6" ht="52.5" customHeight="1" x14ac:dyDescent="0.25">
      <c r="A31" s="167"/>
      <c r="B31" s="169"/>
      <c r="C31" s="167"/>
      <c r="D31" s="169"/>
      <c r="E31" s="167"/>
      <c r="F31" s="169"/>
    </row>
    <row r="32" spans="1:6" ht="63.75" customHeight="1" x14ac:dyDescent="0.25">
      <c r="A32" s="167"/>
      <c r="B32" s="169"/>
      <c r="C32" s="167"/>
      <c r="D32" s="169"/>
      <c r="E32" s="167"/>
      <c r="F32" s="169"/>
    </row>
    <row r="33" spans="1:6" ht="66" customHeight="1" x14ac:dyDescent="0.25">
      <c r="A33" s="167"/>
      <c r="B33" s="170"/>
      <c r="C33" s="167"/>
      <c r="D33" s="171"/>
      <c r="E33" s="167"/>
      <c r="F33" s="170"/>
    </row>
    <row r="34" spans="1:6" ht="55.5" customHeight="1" x14ac:dyDescent="0.25">
      <c r="A34" s="167"/>
      <c r="B34" s="170"/>
      <c r="C34" s="167"/>
      <c r="D34" s="171"/>
      <c r="E34" s="167"/>
      <c r="F34" s="172"/>
    </row>
    <row r="35" spans="1:6" ht="51.75" customHeight="1" x14ac:dyDescent="0.25">
      <c r="A35" s="167"/>
      <c r="B35" s="172"/>
      <c r="C35" s="167"/>
      <c r="D35" s="173"/>
      <c r="E35" s="167"/>
      <c r="F35" s="172"/>
    </row>
    <row r="36" spans="1:6" ht="55.5" customHeight="1" x14ac:dyDescent="0.25">
      <c r="A36" s="167"/>
      <c r="B36" s="172"/>
      <c r="C36" s="167"/>
      <c r="D36" s="172"/>
      <c r="E36" s="167"/>
      <c r="F36" s="172"/>
    </row>
    <row r="37" spans="1:6" ht="55.5" customHeight="1" x14ac:dyDescent="0.25">
      <c r="A37" s="167"/>
      <c r="B37" s="172"/>
      <c r="C37" s="167"/>
      <c r="D37" s="172"/>
      <c r="E37" s="167"/>
      <c r="F37" s="172"/>
    </row>
    <row r="38" spans="1:6" ht="54.75" customHeight="1" x14ac:dyDescent="0.25">
      <c r="A38" s="167"/>
      <c r="B38" s="172"/>
      <c r="C38" s="167"/>
      <c r="D38" s="172"/>
      <c r="E38" s="167"/>
      <c r="F38" s="172"/>
    </row>
    <row r="39" spans="1:6" ht="56.25" customHeight="1" x14ac:dyDescent="0.25">
      <c r="A39" s="167"/>
      <c r="B39" s="172"/>
      <c r="C39" s="167"/>
      <c r="D39" s="172"/>
      <c r="E39" s="167"/>
      <c r="F39" s="172"/>
    </row>
    <row r="40" spans="1:6" ht="54.75" customHeight="1" x14ac:dyDescent="0.25">
      <c r="A40" s="167"/>
      <c r="B40" s="170"/>
      <c r="C40" s="167"/>
      <c r="D40" s="171"/>
      <c r="E40" s="167"/>
      <c r="F40" s="170"/>
    </row>
    <row r="41" spans="1:6" ht="55.5" customHeight="1" x14ac:dyDescent="0.25">
      <c r="A41" s="167"/>
      <c r="B41" s="170"/>
      <c r="C41" s="167"/>
      <c r="D41" s="171"/>
      <c r="E41" s="167"/>
      <c r="F41" s="172"/>
    </row>
    <row r="42" spans="1:6" ht="54.75" customHeight="1" x14ac:dyDescent="0.25">
      <c r="A42" s="167"/>
      <c r="B42" s="172"/>
      <c r="C42" s="167"/>
      <c r="D42" s="173"/>
      <c r="E42" s="167"/>
      <c r="F42" s="172"/>
    </row>
    <row r="43" spans="1:6" ht="55.5" customHeight="1" x14ac:dyDescent="0.25">
      <c r="A43" s="167"/>
      <c r="B43" s="172"/>
      <c r="C43" s="167"/>
      <c r="D43" s="172"/>
      <c r="E43" s="167"/>
      <c r="F43" s="172"/>
    </row>
    <row r="44" spans="1:6" ht="56.25" customHeight="1" x14ac:dyDescent="0.25">
      <c r="A44" s="167"/>
      <c r="B44" s="172"/>
      <c r="C44" s="167"/>
      <c r="D44" s="172"/>
      <c r="E44" s="167"/>
      <c r="F44" s="172"/>
    </row>
    <row r="45" spans="1:6" ht="59.25" customHeight="1" x14ac:dyDescent="0.25">
      <c r="A45" s="167"/>
      <c r="B45" s="172"/>
      <c r="C45" s="167"/>
      <c r="D45" s="172"/>
      <c r="E45" s="167"/>
      <c r="F45" s="172"/>
    </row>
    <row r="46" spans="1:6" ht="55.5" customHeight="1" x14ac:dyDescent="0.25">
      <c r="A46" s="167"/>
      <c r="B46" s="172"/>
      <c r="C46" s="167"/>
      <c r="D46" s="172"/>
      <c r="E46" s="167"/>
      <c r="F46" s="172"/>
    </row>
    <row r="47" spans="1:6" ht="55.5" customHeight="1" x14ac:dyDescent="0.25">
      <c r="A47" s="167"/>
      <c r="B47" s="170"/>
      <c r="C47" s="167"/>
      <c r="D47" s="171"/>
      <c r="E47" s="167"/>
      <c r="F47" s="170"/>
    </row>
    <row r="48" spans="1:6" ht="56.25" customHeight="1" x14ac:dyDescent="0.25">
      <c r="A48" s="167"/>
      <c r="B48" s="170"/>
      <c r="C48" s="167"/>
      <c r="D48" s="171"/>
      <c r="E48" s="167"/>
      <c r="F48" s="172"/>
    </row>
    <row r="49" spans="1:6" ht="54" customHeight="1" x14ac:dyDescent="0.25">
      <c r="A49" s="167"/>
      <c r="B49" s="172"/>
      <c r="C49" s="167"/>
      <c r="D49" s="173"/>
      <c r="E49" s="167"/>
      <c r="F49" s="172"/>
    </row>
    <row r="50" spans="1:6" ht="56.25" customHeight="1" x14ac:dyDescent="0.25">
      <c r="A50" s="167"/>
      <c r="B50" s="172"/>
      <c r="C50" s="167"/>
      <c r="D50" s="172"/>
      <c r="E50" s="167"/>
      <c r="F50" s="172"/>
    </row>
    <row r="51" spans="1:6" ht="59.25" customHeight="1" x14ac:dyDescent="0.25">
      <c r="A51" s="167"/>
      <c r="B51" s="172"/>
      <c r="C51" s="167"/>
      <c r="D51" s="172"/>
      <c r="E51" s="167"/>
      <c r="F51" s="172"/>
    </row>
    <row r="52" spans="1:6" ht="54.75" customHeight="1" x14ac:dyDescent="0.25">
      <c r="A52" s="167"/>
      <c r="B52" s="172"/>
      <c r="C52" s="167"/>
      <c r="D52" s="172"/>
      <c r="E52" s="167"/>
      <c r="F52" s="172"/>
    </row>
    <row r="53" spans="1:6" ht="55.5" customHeight="1" x14ac:dyDescent="0.25">
      <c r="A53" s="167"/>
      <c r="B53" s="172"/>
      <c r="C53" s="167"/>
      <c r="D53" s="172"/>
      <c r="E53" s="167"/>
      <c r="F53" s="172"/>
    </row>
  </sheetData>
  <mergeCells count="10">
    <mergeCell ref="A9:F9"/>
    <mergeCell ref="A10:F10"/>
    <mergeCell ref="A1:A4"/>
    <mergeCell ref="B1:D2"/>
    <mergeCell ref="F1:F4"/>
    <mergeCell ref="J1:J4"/>
    <mergeCell ref="B3:D4"/>
    <mergeCell ref="A5:F5"/>
    <mergeCell ref="A6:F7"/>
    <mergeCell ref="A8:F8"/>
  </mergeCell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'C:\Users\Marcela\Desktop\mapa de riesgos de corrupcion\[MAPA DE RIESGOS VERSION NUEVA E INFORMACION ACTUALIZADA A 30 DE AGOSTO DE 2024.xlsx]LISTAS CONTEXTO'!#REF!</xm:f>
          </x14:formula1>
          <xm:sqref>A12:A21</xm:sqref>
        </x14:dataValidation>
        <x14:dataValidation type="list" allowBlank="1" showInputMessage="1" showErrorMessage="1" xr:uid="{00000000-0002-0000-0100-000001000000}">
          <x14:formula1>
            <xm:f>'C:\Users\CAROLINA\Desktop\MEMORIA LUMERO\POR CONTESTAR\SIGAMI 2023\MAPAS 2023\[Monitoreo mapa de Corrupcion septiembre y octubre 2023.xlsx]LISTAS CONTEXTO'!#REF!</xm:f>
          </x14:formula1>
          <xm:sqref>E12:E21 C12:C21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42"/>
  <sheetViews>
    <sheetView topLeftCell="A33" zoomScale="70" zoomScaleNormal="70" workbookViewId="0">
      <selection activeCell="S42" sqref="S42"/>
    </sheetView>
  </sheetViews>
  <sheetFormatPr baseColWidth="10" defaultColWidth="11.44140625" defaultRowHeight="14.4" x14ac:dyDescent="0.3"/>
  <cols>
    <col min="1" max="1" width="13.88671875" style="198" customWidth="1"/>
    <col min="2" max="2" width="40.44140625" style="199" customWidth="1"/>
    <col min="3" max="9" width="6.44140625" style="199" customWidth="1"/>
    <col min="10" max="10" width="5.44140625" style="199" customWidth="1"/>
    <col min="11" max="11" width="5.6640625" style="199" customWidth="1"/>
    <col min="12" max="12" width="5.33203125" style="199" customWidth="1"/>
    <col min="13" max="14" width="5.44140625" style="199" customWidth="1"/>
    <col min="15" max="15" width="4.88671875" style="199" customWidth="1"/>
    <col min="16" max="16" width="5.44140625" style="199" customWidth="1"/>
    <col min="17" max="17" width="5.5546875" style="199" customWidth="1"/>
    <col min="18" max="18" width="7.109375" style="199" customWidth="1"/>
    <col min="19" max="19" width="30.44140625" style="200" customWidth="1"/>
    <col min="20" max="20" width="27.5546875" customWidth="1"/>
    <col min="21" max="23" width="11.44140625" hidden="1" customWidth="1"/>
  </cols>
  <sheetData>
    <row r="1" spans="1:24" ht="24.75" customHeight="1" x14ac:dyDescent="0.3">
      <c r="A1" s="299"/>
      <c r="B1" s="278" t="s">
        <v>272</v>
      </c>
      <c r="C1" s="278"/>
      <c r="D1" s="278"/>
      <c r="E1" s="278"/>
      <c r="F1" s="278"/>
      <c r="G1" s="278"/>
      <c r="H1" s="278"/>
      <c r="I1" s="278"/>
      <c r="J1" s="278"/>
      <c r="K1" s="278"/>
      <c r="L1" s="278"/>
      <c r="M1" s="278"/>
      <c r="N1" s="278"/>
      <c r="O1" s="278"/>
      <c r="P1" s="278"/>
      <c r="Q1" s="278"/>
      <c r="R1" s="278"/>
      <c r="S1" s="237" t="s">
        <v>271</v>
      </c>
      <c r="T1" s="310"/>
      <c r="U1" s="311"/>
      <c r="V1" s="311"/>
      <c r="W1" s="312"/>
    </row>
    <row r="2" spans="1:24" ht="25.5" customHeight="1" x14ac:dyDescent="0.3">
      <c r="A2" s="300"/>
      <c r="B2" s="278"/>
      <c r="C2" s="278"/>
      <c r="D2" s="278"/>
      <c r="E2" s="278"/>
      <c r="F2" s="278"/>
      <c r="G2" s="278"/>
      <c r="H2" s="278"/>
      <c r="I2" s="278"/>
      <c r="J2" s="278"/>
      <c r="K2" s="278"/>
      <c r="L2" s="278"/>
      <c r="M2" s="278"/>
      <c r="N2" s="278"/>
      <c r="O2" s="278"/>
      <c r="P2" s="278"/>
      <c r="Q2" s="278"/>
      <c r="R2" s="278"/>
      <c r="S2" s="237" t="s">
        <v>268</v>
      </c>
      <c r="T2" s="313"/>
      <c r="U2" s="314"/>
      <c r="V2" s="314"/>
      <c r="W2" s="315"/>
    </row>
    <row r="3" spans="1:24" ht="19.5" customHeight="1" x14ac:dyDescent="0.3">
      <c r="A3" s="300"/>
      <c r="B3" s="278" t="s">
        <v>224</v>
      </c>
      <c r="C3" s="278"/>
      <c r="D3" s="278"/>
      <c r="E3" s="278"/>
      <c r="F3" s="278"/>
      <c r="G3" s="278"/>
      <c r="H3" s="278"/>
      <c r="I3" s="278"/>
      <c r="J3" s="278"/>
      <c r="K3" s="278"/>
      <c r="L3" s="278"/>
      <c r="M3" s="278"/>
      <c r="N3" s="278"/>
      <c r="O3" s="278"/>
      <c r="P3" s="278"/>
      <c r="Q3" s="278"/>
      <c r="R3" s="278"/>
      <c r="S3" s="237" t="s">
        <v>269</v>
      </c>
      <c r="T3" s="313"/>
      <c r="U3" s="314"/>
      <c r="V3" s="314"/>
      <c r="W3" s="315"/>
    </row>
    <row r="4" spans="1:24" ht="21" customHeight="1" x14ac:dyDescent="0.3">
      <c r="A4" s="301"/>
      <c r="B4" s="278"/>
      <c r="C4" s="278"/>
      <c r="D4" s="278"/>
      <c r="E4" s="278"/>
      <c r="F4" s="278"/>
      <c r="G4" s="278"/>
      <c r="H4" s="278"/>
      <c r="I4" s="278"/>
      <c r="J4" s="278"/>
      <c r="K4" s="278"/>
      <c r="L4" s="278"/>
      <c r="M4" s="278"/>
      <c r="N4" s="278"/>
      <c r="O4" s="278"/>
      <c r="P4" s="278"/>
      <c r="Q4" s="278"/>
      <c r="R4" s="278"/>
      <c r="S4" s="237" t="s">
        <v>270</v>
      </c>
      <c r="T4" s="316"/>
      <c r="U4" s="317"/>
      <c r="V4" s="317"/>
      <c r="W4" s="318"/>
    </row>
    <row r="5" spans="1:24" ht="15.75" customHeight="1" x14ac:dyDescent="0.3">
      <c r="A5" s="301"/>
      <c r="B5" s="301"/>
      <c r="C5" s="301"/>
      <c r="D5" s="301"/>
      <c r="E5" s="301"/>
      <c r="F5" s="301"/>
      <c r="G5" s="301"/>
      <c r="H5" s="301"/>
      <c r="I5" s="301"/>
      <c r="J5" s="301"/>
      <c r="K5" s="301"/>
      <c r="L5" s="301"/>
      <c r="M5" s="301"/>
      <c r="N5" s="301"/>
      <c r="O5" s="301"/>
      <c r="P5" s="301"/>
      <c r="Q5" s="301"/>
      <c r="R5" s="301"/>
      <c r="S5" s="301"/>
      <c r="T5" s="302"/>
      <c r="U5" s="168"/>
      <c r="V5" s="168"/>
      <c r="W5" s="174"/>
    </row>
    <row r="6" spans="1:24" s="148" customFormat="1" ht="27" customHeight="1" x14ac:dyDescent="0.25">
      <c r="A6" s="303" t="s">
        <v>390</v>
      </c>
      <c r="B6" s="303"/>
      <c r="C6" s="303"/>
      <c r="D6" s="303"/>
      <c r="E6" s="303"/>
      <c r="F6" s="303"/>
      <c r="G6" s="303"/>
      <c r="H6" s="303"/>
      <c r="I6" s="303"/>
      <c r="J6" s="303"/>
      <c r="K6" s="303"/>
      <c r="L6" s="303"/>
      <c r="M6" s="303"/>
      <c r="N6" s="303"/>
      <c r="O6" s="303"/>
      <c r="P6" s="303"/>
      <c r="Q6" s="303"/>
      <c r="R6" s="303"/>
      <c r="S6" s="303"/>
      <c r="T6" s="303"/>
      <c r="W6" s="175"/>
    </row>
    <row r="7" spans="1:24" s="148" customFormat="1" ht="81" customHeight="1" thickBot="1" x14ac:dyDescent="0.3">
      <c r="A7" s="304" t="s">
        <v>389</v>
      </c>
      <c r="B7" s="304"/>
      <c r="C7" s="304"/>
      <c r="D7" s="304"/>
      <c r="E7" s="304"/>
      <c r="F7" s="304"/>
      <c r="G7" s="304"/>
      <c r="H7" s="304"/>
      <c r="I7" s="304"/>
      <c r="J7" s="304"/>
      <c r="K7" s="304"/>
      <c r="L7" s="304"/>
      <c r="M7" s="304"/>
      <c r="N7" s="304"/>
      <c r="O7" s="304"/>
      <c r="P7" s="304"/>
      <c r="Q7" s="304"/>
      <c r="R7" s="304"/>
      <c r="S7" s="304"/>
      <c r="T7" s="304"/>
      <c r="U7" s="176"/>
      <c r="V7" s="176"/>
      <c r="W7" s="177"/>
    </row>
    <row r="8" spans="1:24" s="148" customFormat="1" ht="26.25" customHeight="1" thickBot="1" x14ac:dyDescent="0.3">
      <c r="A8" s="178"/>
      <c r="B8" s="178"/>
      <c r="C8" s="178"/>
      <c r="D8" s="178"/>
      <c r="E8" s="178"/>
      <c r="F8" s="178"/>
      <c r="G8" s="178"/>
      <c r="H8" s="178"/>
      <c r="I8" s="178"/>
      <c r="J8" s="178"/>
      <c r="K8" s="178"/>
      <c r="L8" s="178"/>
      <c r="M8" s="178"/>
      <c r="N8" s="178"/>
      <c r="O8" s="178"/>
      <c r="P8" s="178"/>
      <c r="Q8" s="178"/>
      <c r="R8" s="178"/>
      <c r="S8" s="178"/>
      <c r="T8" s="179"/>
      <c r="X8" s="180"/>
    </row>
    <row r="9" spans="1:24" s="148" customFormat="1" ht="39.75" customHeight="1" thickBot="1" x14ac:dyDescent="0.3">
      <c r="A9" s="305"/>
      <c r="B9" s="305"/>
      <c r="C9" s="305" t="b">
        <v>0</v>
      </c>
      <c r="D9" s="305"/>
      <c r="E9" s="305"/>
      <c r="F9" s="305"/>
      <c r="G9" s="305"/>
      <c r="H9" s="305"/>
      <c r="I9" s="305"/>
      <c r="J9" s="305"/>
      <c r="K9" s="305"/>
      <c r="L9" s="305"/>
      <c r="M9" s="305"/>
      <c r="N9" s="305"/>
      <c r="O9" s="305"/>
      <c r="P9" s="305"/>
      <c r="Q9" s="305"/>
      <c r="R9" s="305"/>
      <c r="S9" s="305"/>
      <c r="T9" s="306"/>
    </row>
    <row r="10" spans="1:24" s="186" customFormat="1" ht="51" customHeight="1" thickBot="1" x14ac:dyDescent="0.35">
      <c r="A10" s="181" t="s">
        <v>225</v>
      </c>
      <c r="B10" s="182" t="s">
        <v>226</v>
      </c>
      <c r="C10" s="182" t="s">
        <v>227</v>
      </c>
      <c r="D10" s="182" t="s">
        <v>228</v>
      </c>
      <c r="E10" s="182" t="s">
        <v>229</v>
      </c>
      <c r="F10" s="182" t="s">
        <v>230</v>
      </c>
      <c r="G10" s="182" t="s">
        <v>231</v>
      </c>
      <c r="H10" s="182" t="s">
        <v>232</v>
      </c>
      <c r="I10" s="182" t="s">
        <v>233</v>
      </c>
      <c r="J10" s="182" t="s">
        <v>234</v>
      </c>
      <c r="K10" s="182" t="s">
        <v>235</v>
      </c>
      <c r="L10" s="182" t="s">
        <v>236</v>
      </c>
      <c r="M10" s="182" t="s">
        <v>237</v>
      </c>
      <c r="N10" s="182" t="s">
        <v>238</v>
      </c>
      <c r="O10" s="182" t="s">
        <v>239</v>
      </c>
      <c r="P10" s="182" t="s">
        <v>240</v>
      </c>
      <c r="Q10" s="182" t="s">
        <v>241</v>
      </c>
      <c r="R10" s="183" t="s">
        <v>242</v>
      </c>
      <c r="S10" s="184" t="s">
        <v>243</v>
      </c>
      <c r="T10" s="185" t="s">
        <v>244</v>
      </c>
    </row>
    <row r="11" spans="1:24" ht="39.75" customHeight="1" x14ac:dyDescent="0.3">
      <c r="A11" s="187">
        <v>1</v>
      </c>
      <c r="B11" s="207" t="s">
        <v>273</v>
      </c>
      <c r="C11" s="188">
        <v>5</v>
      </c>
      <c r="D11" s="188">
        <v>4</v>
      </c>
      <c r="E11" s="188">
        <v>4</v>
      </c>
      <c r="F11" s="188">
        <v>4</v>
      </c>
      <c r="G11" s="188">
        <v>5</v>
      </c>
      <c r="H11" s="188">
        <v>4</v>
      </c>
      <c r="I11" s="188">
        <v>5</v>
      </c>
      <c r="J11" s="188">
        <v>4</v>
      </c>
      <c r="K11" s="188">
        <v>5</v>
      </c>
      <c r="L11" s="188"/>
      <c r="M11" s="188"/>
      <c r="N11" s="188"/>
      <c r="O11" s="188"/>
      <c r="P11" s="188"/>
      <c r="Q11" s="188"/>
      <c r="R11" s="187">
        <f>SUM(C11:K11)</f>
        <v>40</v>
      </c>
      <c r="S11" s="189">
        <f>AVERAGE(C11:Q11)</f>
        <v>4.4444444444444446</v>
      </c>
      <c r="T11" s="230" t="s">
        <v>392</v>
      </c>
    </row>
    <row r="12" spans="1:24" ht="45.75" customHeight="1" x14ac:dyDescent="0.3">
      <c r="A12" s="187">
        <v>2</v>
      </c>
      <c r="B12" s="210" t="s">
        <v>279</v>
      </c>
      <c r="C12" s="188">
        <v>3</v>
      </c>
      <c r="D12" s="188">
        <v>5</v>
      </c>
      <c r="E12" s="188">
        <v>4</v>
      </c>
      <c r="F12" s="188">
        <v>5</v>
      </c>
      <c r="G12" s="188">
        <v>5</v>
      </c>
      <c r="H12" s="188">
        <v>4</v>
      </c>
      <c r="I12" s="188">
        <v>5</v>
      </c>
      <c r="J12" s="188">
        <v>4</v>
      </c>
      <c r="K12" s="188">
        <v>5</v>
      </c>
      <c r="L12" s="188"/>
      <c r="M12" s="188"/>
      <c r="N12" s="188"/>
      <c r="O12" s="188"/>
      <c r="P12" s="188"/>
      <c r="Q12" s="188"/>
      <c r="R12" s="187">
        <f t="shared" ref="R12:R36" si="0">SUM(C12:K12)</f>
        <v>40</v>
      </c>
      <c r="S12" s="189">
        <f t="shared" ref="S12:S36" si="1">AVERAGE(C12:Q12)</f>
        <v>4.4444444444444446</v>
      </c>
      <c r="T12" s="231" t="s">
        <v>392</v>
      </c>
    </row>
    <row r="13" spans="1:24" ht="65.25" customHeight="1" x14ac:dyDescent="0.3">
      <c r="A13" s="187">
        <v>3</v>
      </c>
      <c r="B13" s="211" t="s">
        <v>284</v>
      </c>
      <c r="C13" s="188">
        <v>5</v>
      </c>
      <c r="D13" s="188">
        <v>4</v>
      </c>
      <c r="E13" s="188">
        <v>5</v>
      </c>
      <c r="F13" s="188">
        <v>5</v>
      </c>
      <c r="G13" s="188">
        <v>4</v>
      </c>
      <c r="H13" s="188">
        <v>3</v>
      </c>
      <c r="I13" s="188">
        <v>5</v>
      </c>
      <c r="J13" s="188">
        <v>5</v>
      </c>
      <c r="K13" s="188">
        <v>5</v>
      </c>
      <c r="L13" s="188"/>
      <c r="M13" s="188"/>
      <c r="N13" s="188"/>
      <c r="O13" s="188"/>
      <c r="P13" s="188"/>
      <c r="Q13" s="188"/>
      <c r="R13" s="187">
        <f t="shared" si="0"/>
        <v>41</v>
      </c>
      <c r="S13" s="189">
        <f t="shared" si="1"/>
        <v>4.5555555555555554</v>
      </c>
      <c r="T13" s="231" t="s">
        <v>392</v>
      </c>
    </row>
    <row r="14" spans="1:24" ht="39.75" customHeight="1" x14ac:dyDescent="0.3">
      <c r="A14" s="187">
        <v>4</v>
      </c>
      <c r="B14" s="213" t="s">
        <v>288</v>
      </c>
      <c r="C14" s="188">
        <v>5</v>
      </c>
      <c r="D14" s="188">
        <v>4</v>
      </c>
      <c r="E14" s="188">
        <v>3</v>
      </c>
      <c r="F14" s="188">
        <v>2</v>
      </c>
      <c r="G14" s="188">
        <v>1</v>
      </c>
      <c r="H14" s="188">
        <v>4</v>
      </c>
      <c r="I14" s="188">
        <v>2</v>
      </c>
      <c r="J14" s="188">
        <v>1</v>
      </c>
      <c r="K14" s="188">
        <v>2</v>
      </c>
      <c r="L14" s="188"/>
      <c r="M14" s="188"/>
      <c r="N14" s="188"/>
      <c r="O14" s="188"/>
      <c r="P14" s="188"/>
      <c r="Q14" s="188"/>
      <c r="R14" s="187">
        <f t="shared" si="0"/>
        <v>24</v>
      </c>
      <c r="S14" s="189">
        <f t="shared" si="1"/>
        <v>2.6666666666666665</v>
      </c>
      <c r="T14" s="232"/>
    </row>
    <row r="15" spans="1:24" ht="39.75" customHeight="1" x14ac:dyDescent="0.3">
      <c r="A15" s="187">
        <v>5</v>
      </c>
      <c r="B15" s="213" t="s">
        <v>292</v>
      </c>
      <c r="C15" s="188">
        <v>5</v>
      </c>
      <c r="D15" s="188">
        <v>4</v>
      </c>
      <c r="E15" s="188">
        <v>5</v>
      </c>
      <c r="F15" s="188">
        <v>5</v>
      </c>
      <c r="G15" s="188">
        <v>4</v>
      </c>
      <c r="H15" s="188">
        <v>5</v>
      </c>
      <c r="I15" s="188">
        <v>4</v>
      </c>
      <c r="J15" s="188">
        <v>5</v>
      </c>
      <c r="K15" s="188">
        <v>5</v>
      </c>
      <c r="L15" s="188"/>
      <c r="M15" s="188"/>
      <c r="N15" s="188"/>
      <c r="O15" s="188"/>
      <c r="P15" s="188"/>
      <c r="Q15" s="188"/>
      <c r="R15" s="187">
        <f t="shared" si="0"/>
        <v>42</v>
      </c>
      <c r="S15" s="189">
        <f t="shared" si="1"/>
        <v>4.666666666666667</v>
      </c>
      <c r="T15" s="232" t="s">
        <v>392</v>
      </c>
    </row>
    <row r="16" spans="1:24" ht="39.75" customHeight="1" x14ac:dyDescent="0.3">
      <c r="A16" s="187">
        <v>6</v>
      </c>
      <c r="B16" s="208" t="s">
        <v>275</v>
      </c>
      <c r="C16" s="188">
        <v>4</v>
      </c>
      <c r="D16" s="188">
        <v>5</v>
      </c>
      <c r="E16" s="188">
        <v>3</v>
      </c>
      <c r="F16" s="188">
        <v>5</v>
      </c>
      <c r="G16" s="188">
        <v>4</v>
      </c>
      <c r="H16" s="188">
        <v>5</v>
      </c>
      <c r="I16" s="188">
        <v>5</v>
      </c>
      <c r="J16" s="188">
        <v>4</v>
      </c>
      <c r="K16" s="188">
        <v>5</v>
      </c>
      <c r="L16" s="188"/>
      <c r="M16" s="188"/>
      <c r="N16" s="188"/>
      <c r="O16" s="188"/>
      <c r="P16" s="188"/>
      <c r="Q16" s="188"/>
      <c r="R16" s="187">
        <f t="shared" si="0"/>
        <v>40</v>
      </c>
      <c r="S16" s="189">
        <f t="shared" si="1"/>
        <v>4.4444444444444446</v>
      </c>
      <c r="T16" s="232" t="s">
        <v>392</v>
      </c>
    </row>
    <row r="17" spans="1:20" ht="39.75" customHeight="1" x14ac:dyDescent="0.3">
      <c r="A17" s="187">
        <v>7</v>
      </c>
      <c r="B17" s="208" t="s">
        <v>281</v>
      </c>
      <c r="C17" s="188">
        <v>3</v>
      </c>
      <c r="D17" s="188">
        <v>4</v>
      </c>
      <c r="E17" s="188">
        <v>5</v>
      </c>
      <c r="F17" s="188">
        <v>5</v>
      </c>
      <c r="G17" s="188">
        <v>4</v>
      </c>
      <c r="H17" s="188">
        <v>5</v>
      </c>
      <c r="I17" s="188">
        <v>4</v>
      </c>
      <c r="J17" s="188">
        <v>5</v>
      </c>
      <c r="K17" s="188">
        <v>5</v>
      </c>
      <c r="L17" s="188"/>
      <c r="M17" s="188"/>
      <c r="N17" s="188"/>
      <c r="O17" s="188"/>
      <c r="P17" s="188"/>
      <c r="Q17" s="188"/>
      <c r="R17" s="187">
        <f t="shared" si="0"/>
        <v>40</v>
      </c>
      <c r="S17" s="189">
        <f t="shared" si="1"/>
        <v>4.4444444444444446</v>
      </c>
      <c r="T17" s="232" t="s">
        <v>392</v>
      </c>
    </row>
    <row r="18" spans="1:20" ht="46.5" customHeight="1" x14ac:dyDescent="0.3">
      <c r="A18" s="187">
        <v>8</v>
      </c>
      <c r="B18" s="212" t="s">
        <v>285</v>
      </c>
      <c r="C18" s="188">
        <v>2</v>
      </c>
      <c r="D18" s="188">
        <v>5</v>
      </c>
      <c r="E18" s="188">
        <v>5</v>
      </c>
      <c r="F18" s="188">
        <v>5</v>
      </c>
      <c r="G18" s="188">
        <v>4</v>
      </c>
      <c r="H18" s="188">
        <v>5</v>
      </c>
      <c r="I18" s="188">
        <v>4</v>
      </c>
      <c r="J18" s="188">
        <v>5</v>
      </c>
      <c r="K18" s="188">
        <v>5</v>
      </c>
      <c r="L18" s="188"/>
      <c r="M18" s="188"/>
      <c r="N18" s="188"/>
      <c r="O18" s="188"/>
      <c r="P18" s="188"/>
      <c r="Q18" s="188"/>
      <c r="R18" s="187">
        <f t="shared" si="0"/>
        <v>40</v>
      </c>
      <c r="S18" s="189">
        <f t="shared" si="1"/>
        <v>4.4444444444444446</v>
      </c>
      <c r="T18" s="232" t="s">
        <v>392</v>
      </c>
    </row>
    <row r="19" spans="1:20" ht="47.25" customHeight="1" x14ac:dyDescent="0.3">
      <c r="A19" s="187">
        <v>9</v>
      </c>
      <c r="B19" s="214" t="s">
        <v>289</v>
      </c>
      <c r="C19" s="188">
        <v>3</v>
      </c>
      <c r="D19" s="188">
        <v>4</v>
      </c>
      <c r="E19" s="188">
        <v>5</v>
      </c>
      <c r="F19" s="188">
        <v>4</v>
      </c>
      <c r="G19" s="188">
        <v>5</v>
      </c>
      <c r="H19" s="188">
        <v>5</v>
      </c>
      <c r="I19" s="188">
        <v>5</v>
      </c>
      <c r="J19" s="188">
        <v>5</v>
      </c>
      <c r="K19" s="188">
        <v>4</v>
      </c>
      <c r="L19" s="188"/>
      <c r="M19" s="188"/>
      <c r="N19" s="188"/>
      <c r="O19" s="188"/>
      <c r="P19" s="188"/>
      <c r="Q19" s="188"/>
      <c r="R19" s="187">
        <f t="shared" si="0"/>
        <v>40</v>
      </c>
      <c r="S19" s="189">
        <f t="shared" si="1"/>
        <v>4.4444444444444446</v>
      </c>
      <c r="T19" s="232" t="s">
        <v>392</v>
      </c>
    </row>
    <row r="20" spans="1:20" ht="39.75" customHeight="1" x14ac:dyDescent="0.3">
      <c r="A20" s="187">
        <v>10</v>
      </c>
      <c r="B20" s="215" t="s">
        <v>293</v>
      </c>
      <c r="C20" s="188">
        <v>4</v>
      </c>
      <c r="D20" s="188">
        <v>4</v>
      </c>
      <c r="E20" s="188">
        <v>5</v>
      </c>
      <c r="F20" s="188">
        <v>4</v>
      </c>
      <c r="G20" s="188">
        <v>5</v>
      </c>
      <c r="H20" s="188">
        <v>5</v>
      </c>
      <c r="I20" s="188">
        <v>5</v>
      </c>
      <c r="J20" s="188">
        <v>4</v>
      </c>
      <c r="K20" s="188">
        <v>5</v>
      </c>
      <c r="L20" s="188"/>
      <c r="M20" s="188"/>
      <c r="N20" s="188"/>
      <c r="O20" s="188"/>
      <c r="P20" s="188"/>
      <c r="Q20" s="188"/>
      <c r="R20" s="187">
        <f t="shared" si="0"/>
        <v>41</v>
      </c>
      <c r="S20" s="189">
        <f t="shared" si="1"/>
        <v>4.5555555555555554</v>
      </c>
      <c r="T20" s="232" t="s">
        <v>392</v>
      </c>
    </row>
    <row r="21" spans="1:20" ht="39.75" customHeight="1" x14ac:dyDescent="0.3">
      <c r="A21" s="187">
        <v>11</v>
      </c>
      <c r="B21" s="215" t="s">
        <v>296</v>
      </c>
      <c r="C21" s="188">
        <v>5</v>
      </c>
      <c r="D21" s="188">
        <v>5</v>
      </c>
      <c r="E21" s="188">
        <v>3</v>
      </c>
      <c r="F21" s="188">
        <v>4</v>
      </c>
      <c r="G21" s="188">
        <v>5</v>
      </c>
      <c r="H21" s="188">
        <v>4</v>
      </c>
      <c r="I21" s="188">
        <v>5</v>
      </c>
      <c r="J21" s="188">
        <v>5</v>
      </c>
      <c r="K21" s="188">
        <v>5</v>
      </c>
      <c r="L21" s="188"/>
      <c r="M21" s="188"/>
      <c r="N21" s="188"/>
      <c r="O21" s="188"/>
      <c r="P21" s="188"/>
      <c r="Q21" s="188"/>
      <c r="R21" s="187">
        <f t="shared" si="0"/>
        <v>41</v>
      </c>
      <c r="S21" s="189">
        <f t="shared" si="1"/>
        <v>4.5555555555555554</v>
      </c>
      <c r="T21" s="232" t="s">
        <v>392</v>
      </c>
    </row>
    <row r="22" spans="1:20" ht="45.75" customHeight="1" x14ac:dyDescent="0.3">
      <c r="A22" s="187">
        <v>12</v>
      </c>
      <c r="B22" s="217" t="s">
        <v>299</v>
      </c>
      <c r="C22" s="188">
        <v>2</v>
      </c>
      <c r="D22" s="188">
        <v>3</v>
      </c>
      <c r="E22" s="188">
        <v>1</v>
      </c>
      <c r="F22" s="188">
        <v>5</v>
      </c>
      <c r="G22" s="188">
        <v>4</v>
      </c>
      <c r="H22" s="188">
        <v>3</v>
      </c>
      <c r="I22" s="188">
        <v>2</v>
      </c>
      <c r="J22" s="188">
        <v>3</v>
      </c>
      <c r="K22" s="188">
        <v>1</v>
      </c>
      <c r="L22" s="188"/>
      <c r="M22" s="188"/>
      <c r="N22" s="188"/>
      <c r="O22" s="188"/>
      <c r="P22" s="188"/>
      <c r="Q22" s="188"/>
      <c r="R22" s="187">
        <f t="shared" si="0"/>
        <v>24</v>
      </c>
      <c r="S22" s="189">
        <f t="shared" si="1"/>
        <v>2.6666666666666665</v>
      </c>
      <c r="T22" s="232"/>
    </row>
    <row r="23" spans="1:20" ht="49.5" customHeight="1" x14ac:dyDescent="0.3">
      <c r="A23" s="187">
        <v>13</v>
      </c>
      <c r="B23" s="217" t="s">
        <v>302</v>
      </c>
      <c r="C23" s="188">
        <v>5</v>
      </c>
      <c r="D23" s="188">
        <v>5</v>
      </c>
      <c r="E23" s="188">
        <v>4</v>
      </c>
      <c r="F23" s="188">
        <v>2</v>
      </c>
      <c r="G23" s="188">
        <v>4</v>
      </c>
      <c r="H23" s="188">
        <v>5</v>
      </c>
      <c r="I23" s="188">
        <v>5</v>
      </c>
      <c r="J23" s="188">
        <v>5</v>
      </c>
      <c r="K23" s="188">
        <v>5</v>
      </c>
      <c r="L23" s="188"/>
      <c r="M23" s="188"/>
      <c r="N23" s="188"/>
      <c r="O23" s="188"/>
      <c r="P23" s="188"/>
      <c r="Q23" s="188"/>
      <c r="R23" s="187">
        <f t="shared" si="0"/>
        <v>40</v>
      </c>
      <c r="S23" s="189">
        <f t="shared" si="1"/>
        <v>4.4444444444444446</v>
      </c>
      <c r="T23" s="232" t="s">
        <v>392</v>
      </c>
    </row>
    <row r="24" spans="1:20" ht="39.75" customHeight="1" x14ac:dyDescent="0.3">
      <c r="A24" s="187">
        <v>14</v>
      </c>
      <c r="B24" s="217" t="s">
        <v>305</v>
      </c>
      <c r="C24" s="188">
        <v>4</v>
      </c>
      <c r="D24" s="188">
        <v>4</v>
      </c>
      <c r="E24" s="188">
        <v>5</v>
      </c>
      <c r="F24" s="188">
        <v>5</v>
      </c>
      <c r="G24" s="188">
        <v>5</v>
      </c>
      <c r="H24" s="188">
        <v>4</v>
      </c>
      <c r="I24" s="188">
        <v>5</v>
      </c>
      <c r="J24" s="188">
        <v>5</v>
      </c>
      <c r="K24" s="188">
        <v>4</v>
      </c>
      <c r="L24" s="188"/>
      <c r="M24" s="188"/>
      <c r="N24" s="188"/>
      <c r="O24" s="188"/>
      <c r="P24" s="188"/>
      <c r="Q24" s="188"/>
      <c r="R24" s="187">
        <f t="shared" si="0"/>
        <v>41</v>
      </c>
      <c r="S24" s="189">
        <f t="shared" si="1"/>
        <v>4.5555555555555554</v>
      </c>
      <c r="T24" s="232" t="s">
        <v>392</v>
      </c>
    </row>
    <row r="25" spans="1:20" ht="39.75" customHeight="1" x14ac:dyDescent="0.3">
      <c r="A25" s="187">
        <v>15</v>
      </c>
      <c r="B25" s="217" t="s">
        <v>309</v>
      </c>
      <c r="C25" s="188">
        <v>5</v>
      </c>
      <c r="D25" s="188">
        <v>5</v>
      </c>
      <c r="E25" s="188">
        <v>4</v>
      </c>
      <c r="F25" s="188">
        <v>4</v>
      </c>
      <c r="G25" s="188">
        <v>5</v>
      </c>
      <c r="H25" s="188">
        <v>3</v>
      </c>
      <c r="I25" s="188">
        <v>5</v>
      </c>
      <c r="J25" s="188">
        <v>4</v>
      </c>
      <c r="K25" s="188">
        <v>5</v>
      </c>
      <c r="L25" s="188"/>
      <c r="M25" s="188"/>
      <c r="N25" s="188"/>
      <c r="O25" s="188"/>
      <c r="P25" s="188"/>
      <c r="Q25" s="188"/>
      <c r="R25" s="187">
        <f t="shared" si="0"/>
        <v>40</v>
      </c>
      <c r="S25" s="189">
        <f t="shared" si="1"/>
        <v>4.4444444444444446</v>
      </c>
      <c r="T25" s="232" t="s">
        <v>392</v>
      </c>
    </row>
    <row r="26" spans="1:20" ht="48.75" customHeight="1" x14ac:dyDescent="0.3">
      <c r="A26" s="187">
        <v>16</v>
      </c>
      <c r="B26" s="220" t="s">
        <v>313</v>
      </c>
      <c r="C26" s="188">
        <v>2</v>
      </c>
      <c r="D26" s="188">
        <v>3</v>
      </c>
      <c r="E26" s="188">
        <v>1</v>
      </c>
      <c r="F26" s="188">
        <v>3</v>
      </c>
      <c r="G26" s="188">
        <v>2</v>
      </c>
      <c r="H26" s="188">
        <v>1</v>
      </c>
      <c r="I26" s="188">
        <v>1</v>
      </c>
      <c r="J26" s="188">
        <v>2</v>
      </c>
      <c r="K26" s="188">
        <v>2</v>
      </c>
      <c r="L26" s="188"/>
      <c r="M26" s="188"/>
      <c r="N26" s="188"/>
      <c r="O26" s="188"/>
      <c r="P26" s="188"/>
      <c r="Q26" s="188"/>
      <c r="R26" s="187">
        <f t="shared" si="0"/>
        <v>17</v>
      </c>
      <c r="S26" s="189">
        <f t="shared" si="1"/>
        <v>1.8888888888888888</v>
      </c>
      <c r="T26" s="232"/>
    </row>
    <row r="27" spans="1:20" ht="39.75" customHeight="1" x14ac:dyDescent="0.3">
      <c r="A27" s="187">
        <v>17</v>
      </c>
      <c r="B27" s="209" t="s">
        <v>277</v>
      </c>
      <c r="C27" s="188">
        <v>5</v>
      </c>
      <c r="D27" s="188">
        <v>4</v>
      </c>
      <c r="E27" s="188">
        <v>5</v>
      </c>
      <c r="F27" s="188">
        <v>4</v>
      </c>
      <c r="G27" s="188">
        <v>5</v>
      </c>
      <c r="H27" s="188">
        <v>5</v>
      </c>
      <c r="I27" s="188">
        <v>5</v>
      </c>
      <c r="J27" s="188">
        <v>5</v>
      </c>
      <c r="K27" s="188">
        <v>5</v>
      </c>
      <c r="L27" s="188"/>
      <c r="M27" s="188"/>
      <c r="N27" s="188"/>
      <c r="O27" s="188"/>
      <c r="P27" s="188"/>
      <c r="Q27" s="188"/>
      <c r="R27" s="187">
        <f t="shared" si="0"/>
        <v>43</v>
      </c>
      <c r="S27" s="189">
        <f t="shared" si="1"/>
        <v>4.7777777777777777</v>
      </c>
      <c r="T27" s="232" t="s">
        <v>392</v>
      </c>
    </row>
    <row r="28" spans="1:20" ht="39.75" customHeight="1" x14ac:dyDescent="0.3">
      <c r="A28" s="187">
        <v>18</v>
      </c>
      <c r="B28" s="209" t="s">
        <v>283</v>
      </c>
      <c r="C28" s="188">
        <v>5</v>
      </c>
      <c r="D28" s="188">
        <v>5</v>
      </c>
      <c r="E28" s="188">
        <v>4</v>
      </c>
      <c r="F28" s="188">
        <v>5</v>
      </c>
      <c r="G28" s="188">
        <v>5</v>
      </c>
      <c r="H28" s="188">
        <v>5</v>
      </c>
      <c r="I28" s="188">
        <v>5</v>
      </c>
      <c r="J28" s="188">
        <v>4</v>
      </c>
      <c r="K28" s="188">
        <v>5</v>
      </c>
      <c r="L28" s="188"/>
      <c r="M28" s="188"/>
      <c r="N28" s="188"/>
      <c r="O28" s="188"/>
      <c r="P28" s="188"/>
      <c r="Q28" s="188"/>
      <c r="R28" s="187">
        <f t="shared" si="0"/>
        <v>43</v>
      </c>
      <c r="S28" s="189">
        <f t="shared" si="1"/>
        <v>4.7777777777777777</v>
      </c>
      <c r="T28" s="232" t="s">
        <v>392</v>
      </c>
    </row>
    <row r="29" spans="1:20" ht="48" customHeight="1" x14ac:dyDescent="0.3">
      <c r="A29" s="187">
        <v>19</v>
      </c>
      <c r="B29" s="209" t="s">
        <v>287</v>
      </c>
      <c r="C29" s="188">
        <v>5</v>
      </c>
      <c r="D29" s="188">
        <v>5</v>
      </c>
      <c r="E29" s="188">
        <v>4</v>
      </c>
      <c r="F29" s="188">
        <v>5</v>
      </c>
      <c r="G29" s="188">
        <v>5</v>
      </c>
      <c r="H29" s="188">
        <v>5</v>
      </c>
      <c r="I29" s="188">
        <v>5</v>
      </c>
      <c r="J29" s="188">
        <v>5</v>
      </c>
      <c r="K29" s="188">
        <v>5</v>
      </c>
      <c r="L29" s="188"/>
      <c r="M29" s="188"/>
      <c r="N29" s="188"/>
      <c r="O29" s="188"/>
      <c r="P29" s="188"/>
      <c r="Q29" s="188"/>
      <c r="R29" s="187">
        <f t="shared" si="0"/>
        <v>44</v>
      </c>
      <c r="S29" s="189">
        <f t="shared" si="1"/>
        <v>4.8888888888888893</v>
      </c>
      <c r="T29" s="232" t="s">
        <v>392</v>
      </c>
    </row>
    <row r="30" spans="1:20" ht="39.75" customHeight="1" x14ac:dyDescent="0.3">
      <c r="A30" s="187">
        <v>20</v>
      </c>
      <c r="B30" s="209" t="s">
        <v>291</v>
      </c>
      <c r="C30" s="188">
        <v>5</v>
      </c>
      <c r="D30" s="188">
        <v>5</v>
      </c>
      <c r="E30" s="188">
        <v>5</v>
      </c>
      <c r="F30" s="188">
        <v>5</v>
      </c>
      <c r="G30" s="188">
        <v>5</v>
      </c>
      <c r="H30" s="188">
        <v>5</v>
      </c>
      <c r="I30" s="188">
        <v>5</v>
      </c>
      <c r="J30" s="188">
        <v>4</v>
      </c>
      <c r="K30" s="188">
        <v>5</v>
      </c>
      <c r="L30" s="188"/>
      <c r="M30" s="188"/>
      <c r="N30" s="188"/>
      <c r="O30" s="188"/>
      <c r="P30" s="188"/>
      <c r="Q30" s="188"/>
      <c r="R30" s="187">
        <f t="shared" si="0"/>
        <v>44</v>
      </c>
      <c r="S30" s="189">
        <f t="shared" si="1"/>
        <v>4.8888888888888893</v>
      </c>
      <c r="T30" s="232"/>
    </row>
    <row r="31" spans="1:20" ht="49.5" customHeight="1" x14ac:dyDescent="0.3">
      <c r="A31" s="187">
        <v>21</v>
      </c>
      <c r="B31" s="216" t="s">
        <v>294</v>
      </c>
      <c r="C31" s="188">
        <v>5</v>
      </c>
      <c r="D31" s="188">
        <v>5</v>
      </c>
      <c r="E31" s="188">
        <v>4</v>
      </c>
      <c r="F31" s="188">
        <v>5</v>
      </c>
      <c r="G31" s="188">
        <v>4</v>
      </c>
      <c r="H31" s="188">
        <v>5</v>
      </c>
      <c r="I31" s="188">
        <v>4</v>
      </c>
      <c r="J31" s="188">
        <v>4</v>
      </c>
      <c r="K31" s="188">
        <v>5</v>
      </c>
      <c r="L31" s="188"/>
      <c r="M31" s="188"/>
      <c r="N31" s="188"/>
      <c r="O31" s="188"/>
      <c r="P31" s="188"/>
      <c r="Q31" s="188"/>
      <c r="R31" s="187">
        <f t="shared" si="0"/>
        <v>41</v>
      </c>
      <c r="S31" s="189">
        <f t="shared" si="1"/>
        <v>4.5555555555555554</v>
      </c>
      <c r="T31" s="232" t="s">
        <v>392</v>
      </c>
    </row>
    <row r="32" spans="1:20" ht="42" customHeight="1" x14ac:dyDescent="0.3">
      <c r="A32" s="187">
        <v>22</v>
      </c>
      <c r="B32" s="216" t="s">
        <v>297</v>
      </c>
      <c r="C32" s="188">
        <v>5</v>
      </c>
      <c r="D32" s="188">
        <v>5</v>
      </c>
      <c r="E32" s="188">
        <v>4</v>
      </c>
      <c r="F32" s="188">
        <v>5</v>
      </c>
      <c r="G32" s="188">
        <v>5</v>
      </c>
      <c r="H32" s="188">
        <v>5</v>
      </c>
      <c r="I32" s="188">
        <v>5</v>
      </c>
      <c r="J32" s="188">
        <v>4</v>
      </c>
      <c r="K32" s="188">
        <v>5</v>
      </c>
      <c r="L32" s="188"/>
      <c r="M32" s="188"/>
      <c r="N32" s="188"/>
      <c r="O32" s="188"/>
      <c r="P32" s="188"/>
      <c r="Q32" s="188"/>
      <c r="R32" s="187">
        <f t="shared" si="0"/>
        <v>43</v>
      </c>
      <c r="S32" s="189">
        <f t="shared" si="1"/>
        <v>4.7777777777777777</v>
      </c>
      <c r="T32" s="232" t="s">
        <v>392</v>
      </c>
    </row>
    <row r="33" spans="1:20" ht="48" customHeight="1" x14ac:dyDescent="0.3">
      <c r="A33" s="187">
        <v>23</v>
      </c>
      <c r="B33" s="221" t="s">
        <v>300</v>
      </c>
      <c r="C33" s="188">
        <v>5</v>
      </c>
      <c r="D33" s="188">
        <v>5</v>
      </c>
      <c r="E33" s="188">
        <v>4</v>
      </c>
      <c r="F33" s="188">
        <v>4</v>
      </c>
      <c r="G33" s="188">
        <v>5</v>
      </c>
      <c r="H33" s="188">
        <v>5</v>
      </c>
      <c r="I33" s="188">
        <v>5</v>
      </c>
      <c r="J33" s="188">
        <v>4</v>
      </c>
      <c r="K33" s="188">
        <v>5</v>
      </c>
      <c r="L33" s="188"/>
      <c r="M33" s="188"/>
      <c r="N33" s="188"/>
      <c r="O33" s="188"/>
      <c r="P33" s="188"/>
      <c r="Q33" s="188"/>
      <c r="R33" s="187">
        <f t="shared" si="0"/>
        <v>42</v>
      </c>
      <c r="S33" s="189">
        <f t="shared" si="1"/>
        <v>4.666666666666667</v>
      </c>
      <c r="T33" s="232" t="s">
        <v>392</v>
      </c>
    </row>
    <row r="34" spans="1:20" ht="46.5" customHeight="1" x14ac:dyDescent="0.3">
      <c r="A34" s="187">
        <v>24</v>
      </c>
      <c r="B34" s="216" t="s">
        <v>303</v>
      </c>
      <c r="C34" s="188">
        <v>5</v>
      </c>
      <c r="D34" s="188">
        <v>2</v>
      </c>
      <c r="E34" s="188">
        <v>4</v>
      </c>
      <c r="F34" s="188">
        <v>5</v>
      </c>
      <c r="G34" s="188">
        <v>4</v>
      </c>
      <c r="H34" s="188">
        <v>5</v>
      </c>
      <c r="I34" s="188">
        <v>5</v>
      </c>
      <c r="J34" s="188">
        <v>3</v>
      </c>
      <c r="K34" s="188">
        <v>5</v>
      </c>
      <c r="L34" s="188"/>
      <c r="M34" s="188"/>
      <c r="N34" s="188"/>
      <c r="O34" s="188"/>
      <c r="P34" s="188"/>
      <c r="Q34" s="188"/>
      <c r="R34" s="187">
        <f t="shared" si="0"/>
        <v>38</v>
      </c>
      <c r="S34" s="189">
        <f t="shared" si="1"/>
        <v>4.2222222222222223</v>
      </c>
      <c r="T34" s="232" t="s">
        <v>392</v>
      </c>
    </row>
    <row r="35" spans="1:20" ht="44.25" customHeight="1" x14ac:dyDescent="0.3">
      <c r="A35" s="187">
        <v>25</v>
      </c>
      <c r="B35" s="209" t="s">
        <v>307</v>
      </c>
      <c r="C35" s="188">
        <v>5</v>
      </c>
      <c r="D35" s="188">
        <v>4</v>
      </c>
      <c r="E35" s="188">
        <v>4</v>
      </c>
      <c r="F35" s="188">
        <v>5</v>
      </c>
      <c r="G35" s="188">
        <v>2</v>
      </c>
      <c r="H35" s="188">
        <v>5</v>
      </c>
      <c r="I35" s="188">
        <v>5</v>
      </c>
      <c r="J35" s="188">
        <v>4</v>
      </c>
      <c r="K35" s="188">
        <v>5</v>
      </c>
      <c r="L35" s="188"/>
      <c r="M35" s="188"/>
      <c r="N35" s="188"/>
      <c r="O35" s="188"/>
      <c r="P35" s="188"/>
      <c r="Q35" s="188"/>
      <c r="R35" s="187">
        <f t="shared" si="0"/>
        <v>39</v>
      </c>
      <c r="S35" s="189">
        <f t="shared" si="1"/>
        <v>4.333333333333333</v>
      </c>
      <c r="T35" s="232" t="s">
        <v>392</v>
      </c>
    </row>
    <row r="36" spans="1:20" ht="42.75" customHeight="1" x14ac:dyDescent="0.3">
      <c r="A36" s="187">
        <v>26</v>
      </c>
      <c r="B36" s="219" t="s">
        <v>310</v>
      </c>
      <c r="C36" s="188">
        <v>5</v>
      </c>
      <c r="D36" s="188">
        <v>5</v>
      </c>
      <c r="E36" s="188">
        <v>4</v>
      </c>
      <c r="F36" s="188">
        <v>2</v>
      </c>
      <c r="G36" s="188">
        <v>5</v>
      </c>
      <c r="H36" s="188">
        <v>5</v>
      </c>
      <c r="I36" s="188">
        <v>5</v>
      </c>
      <c r="J36" s="188">
        <v>4</v>
      </c>
      <c r="K36" s="188">
        <v>5</v>
      </c>
      <c r="L36" s="188"/>
      <c r="M36" s="188"/>
      <c r="N36" s="188"/>
      <c r="O36" s="188"/>
      <c r="P36" s="188"/>
      <c r="Q36" s="188"/>
      <c r="R36" s="187">
        <f t="shared" si="0"/>
        <v>40</v>
      </c>
      <c r="S36" s="189">
        <f t="shared" si="1"/>
        <v>4.4444444444444446</v>
      </c>
      <c r="T36" s="232" t="s">
        <v>392</v>
      </c>
    </row>
    <row r="37" spans="1:20" ht="42" customHeight="1" x14ac:dyDescent="0.3">
      <c r="A37" s="187">
        <v>27</v>
      </c>
      <c r="B37" s="158"/>
      <c r="C37" s="188"/>
      <c r="D37" s="188"/>
      <c r="E37" s="188"/>
      <c r="F37" s="188"/>
      <c r="G37" s="188"/>
      <c r="H37" s="188"/>
      <c r="I37" s="188"/>
      <c r="J37" s="188"/>
      <c r="K37" s="188"/>
      <c r="L37" s="188"/>
      <c r="M37" s="188"/>
      <c r="N37" s="188"/>
      <c r="O37" s="188"/>
      <c r="P37" s="188"/>
      <c r="Q37" s="188"/>
      <c r="R37" s="187"/>
      <c r="S37" s="191"/>
      <c r="T37" s="190"/>
    </row>
    <row r="38" spans="1:20" ht="42.75" customHeight="1" x14ac:dyDescent="0.3">
      <c r="A38" s="187">
        <v>28</v>
      </c>
      <c r="B38" s="158"/>
      <c r="C38" s="188"/>
      <c r="D38" s="188"/>
      <c r="E38" s="188"/>
      <c r="F38" s="188"/>
      <c r="G38" s="188"/>
      <c r="H38" s="188"/>
      <c r="I38" s="188"/>
      <c r="J38" s="188"/>
      <c r="K38" s="188"/>
      <c r="L38" s="188"/>
      <c r="M38" s="188"/>
      <c r="N38" s="188"/>
      <c r="O38" s="188"/>
      <c r="P38" s="188"/>
      <c r="Q38" s="188"/>
      <c r="R38" s="187"/>
      <c r="S38" s="191"/>
      <c r="T38" s="190"/>
    </row>
    <row r="39" spans="1:20" ht="47.25" customHeight="1" x14ac:dyDescent="0.3">
      <c r="A39" s="187">
        <v>29</v>
      </c>
      <c r="B39" s="158"/>
      <c r="C39" s="188"/>
      <c r="D39" s="188"/>
      <c r="E39" s="188"/>
      <c r="F39" s="188"/>
      <c r="G39" s="188"/>
      <c r="H39" s="188"/>
      <c r="I39" s="188"/>
      <c r="J39" s="188"/>
      <c r="K39" s="188"/>
      <c r="L39" s="188"/>
      <c r="M39" s="188"/>
      <c r="N39" s="188"/>
      <c r="O39" s="188"/>
      <c r="P39" s="188"/>
      <c r="Q39" s="188"/>
      <c r="R39" s="187"/>
      <c r="S39" s="191"/>
      <c r="T39" s="190"/>
    </row>
    <row r="40" spans="1:20" ht="50.25" customHeight="1" thickBot="1" x14ac:dyDescent="0.35">
      <c r="A40" s="192">
        <v>30</v>
      </c>
      <c r="B40" s="193"/>
      <c r="C40" s="194"/>
      <c r="D40" s="194"/>
      <c r="E40" s="194"/>
      <c r="F40" s="194"/>
      <c r="G40" s="194"/>
      <c r="H40" s="194"/>
      <c r="I40" s="194"/>
      <c r="J40" s="194"/>
      <c r="K40" s="194"/>
      <c r="L40" s="194"/>
      <c r="M40" s="194"/>
      <c r="N40" s="194"/>
      <c r="O40" s="194"/>
      <c r="P40" s="194"/>
      <c r="Q40" s="194"/>
      <c r="R40" s="192"/>
      <c r="S40" s="195"/>
      <c r="T40" s="190"/>
    </row>
    <row r="41" spans="1:20" ht="24" customHeight="1" x14ac:dyDescent="0.3">
      <c r="A41" s="307" t="s">
        <v>245</v>
      </c>
      <c r="B41" s="308"/>
      <c r="C41" s="308"/>
      <c r="D41" s="308"/>
      <c r="E41" s="308"/>
      <c r="F41" s="308"/>
      <c r="G41" s="308"/>
      <c r="H41" s="308"/>
      <c r="I41" s="308"/>
      <c r="J41" s="308"/>
      <c r="K41" s="308"/>
      <c r="L41" s="308"/>
      <c r="M41" s="308"/>
      <c r="N41" s="308"/>
      <c r="O41" s="308"/>
      <c r="P41" s="308"/>
      <c r="Q41" s="308"/>
      <c r="R41" s="309"/>
      <c r="S41" s="196">
        <f>SUM(S11:S36)</f>
        <v>111.99999999999997</v>
      </c>
      <c r="T41" s="190"/>
    </row>
    <row r="42" spans="1:20" ht="28.5" customHeight="1" thickBot="1" x14ac:dyDescent="0.35">
      <c r="A42" s="297" t="s">
        <v>243</v>
      </c>
      <c r="B42" s="298"/>
      <c r="C42" s="298"/>
      <c r="D42" s="298"/>
      <c r="E42" s="298"/>
      <c r="F42" s="298"/>
      <c r="G42" s="298"/>
      <c r="H42" s="298"/>
      <c r="I42" s="298"/>
      <c r="J42" s="298"/>
      <c r="K42" s="298"/>
      <c r="L42" s="298"/>
      <c r="M42" s="298"/>
      <c r="N42" s="298"/>
      <c r="O42" s="298"/>
      <c r="P42" s="298"/>
      <c r="Q42" s="298"/>
      <c r="R42" s="298"/>
      <c r="S42" s="197">
        <f>AVERAGE(S11:S36)</f>
        <v>4.3076923076923066</v>
      </c>
    </row>
  </sheetData>
  <mergeCells count="10">
    <mergeCell ref="B3:R4"/>
    <mergeCell ref="A42:R42"/>
    <mergeCell ref="A1:A4"/>
    <mergeCell ref="A5:T5"/>
    <mergeCell ref="A6:T6"/>
    <mergeCell ref="A7:T7"/>
    <mergeCell ref="A9:T9"/>
    <mergeCell ref="A41:R41"/>
    <mergeCell ref="T1:W4"/>
    <mergeCell ref="B1:R2"/>
  </mergeCells>
  <conditionalFormatting sqref="Z14">
    <cfRule type="dataBar" priority="1">
      <dataBar>
        <cfvo type="min"/>
        <cfvo type="max"/>
        <color rgb="FFFFB628"/>
      </dataBar>
      <extLst>
        <ext xmlns:x14="http://schemas.microsoft.com/office/spreadsheetml/2009/9/main" uri="{B025F937-C7B1-47D3-B67F-A62EFF666E3E}">
          <x14:id>{44C003F3-3AF5-4DAF-B4C8-9A1F98737122}</x14:id>
        </ext>
      </extLst>
    </cfRule>
  </conditionalFormatting>
  <dataValidations count="1">
    <dataValidation type="whole" showErrorMessage="1" error="DATO INVÁLIDO_x000a_Tenga en cuenta que la escala de calificación va de 1 a 5" sqref="C11:Q40" xr:uid="{00000000-0002-0000-0200-000000000000}">
      <formula1>1</formula1>
      <formula2>5</formula2>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51" r:id="rId3" name="Check Box 3">
              <controlPr defaultSize="0" autoFill="0" autoLine="0" autoPict="0">
                <anchor moveWithCells="1">
                  <from>
                    <xdr:col>19</xdr:col>
                    <xdr:colOff>579120</xdr:colOff>
                    <xdr:row>11</xdr:row>
                    <xdr:rowOff>388620</xdr:rowOff>
                  </from>
                  <to>
                    <xdr:col>19</xdr:col>
                    <xdr:colOff>883920</xdr:colOff>
                    <xdr:row>12</xdr:row>
                    <xdr:rowOff>30480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44C003F3-3AF5-4DAF-B4C8-9A1F98737122}">
            <x14:dataBar minLength="0" maxLength="100" border="1" negativeBarBorderColorSameAsPositive="0">
              <x14:cfvo type="autoMin"/>
              <x14:cfvo type="autoMax"/>
              <x14:borderColor rgb="FFFFB628"/>
              <x14:negativeFillColor rgb="FFFF0000"/>
              <x14:negativeBorderColor rgb="FFFF0000"/>
              <x14:axisColor rgb="FF000000"/>
            </x14:dataBar>
          </x14:cfRule>
          <xm:sqref>Z14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39"/>
  <sheetViews>
    <sheetView zoomScaleNormal="100" workbookViewId="0">
      <selection activeCell="C1" sqref="A1:G4"/>
    </sheetView>
  </sheetViews>
  <sheetFormatPr baseColWidth="10" defaultColWidth="11.44140625" defaultRowHeight="13.8" x14ac:dyDescent="0.25"/>
  <cols>
    <col min="1" max="1" width="14.109375" style="148" customWidth="1"/>
    <col min="2" max="2" width="11.44140625" style="148" customWidth="1"/>
    <col min="3" max="3" width="32.6640625" style="148" customWidth="1"/>
    <col min="4" max="4" width="12.109375" style="148" customWidth="1"/>
    <col min="5" max="5" width="8.33203125" style="148" customWidth="1"/>
    <col min="6" max="6" width="51.109375" style="148" customWidth="1"/>
    <col min="7" max="7" width="0.109375" style="148" customWidth="1"/>
    <col min="8" max="8" width="15.5546875" style="148" customWidth="1"/>
    <col min="9" max="9" width="19.33203125" style="148" customWidth="1"/>
    <col min="10" max="10" width="22.33203125" style="148" customWidth="1"/>
    <col min="11" max="16384" width="11.44140625" style="148"/>
  </cols>
  <sheetData>
    <row r="1" spans="1:14" ht="15" customHeight="1" x14ac:dyDescent="0.25">
      <c r="A1" s="278"/>
      <c r="B1" s="278"/>
      <c r="C1" s="278" t="s">
        <v>272</v>
      </c>
      <c r="D1" s="278"/>
      <c r="E1" s="278"/>
      <c r="F1" s="278"/>
      <c r="G1" s="278"/>
      <c r="H1" s="338" t="s">
        <v>260</v>
      </c>
      <c r="I1" s="339"/>
      <c r="J1" s="340"/>
      <c r="K1" s="147"/>
      <c r="N1" s="277"/>
    </row>
    <row r="2" spans="1:14" ht="15" customHeight="1" x14ac:dyDescent="0.25">
      <c r="A2" s="278"/>
      <c r="B2" s="278"/>
      <c r="C2" s="278"/>
      <c r="D2" s="278"/>
      <c r="E2" s="278"/>
      <c r="F2" s="278"/>
      <c r="G2" s="278"/>
      <c r="H2" s="343" t="s">
        <v>258</v>
      </c>
      <c r="I2" s="344"/>
      <c r="J2" s="341"/>
      <c r="K2" s="147"/>
      <c r="N2" s="277"/>
    </row>
    <row r="3" spans="1:14" ht="15" customHeight="1" x14ac:dyDescent="0.25">
      <c r="A3" s="278"/>
      <c r="B3" s="278"/>
      <c r="C3" s="278" t="s">
        <v>262</v>
      </c>
      <c r="D3" s="278"/>
      <c r="E3" s="278"/>
      <c r="F3" s="278"/>
      <c r="G3" s="278"/>
      <c r="H3" s="343" t="s">
        <v>261</v>
      </c>
      <c r="I3" s="344"/>
      <c r="J3" s="341"/>
      <c r="K3" s="147"/>
      <c r="N3" s="277"/>
    </row>
    <row r="4" spans="1:14" ht="15.75" customHeight="1" x14ac:dyDescent="0.25">
      <c r="A4" s="278"/>
      <c r="B4" s="278"/>
      <c r="C4" s="278"/>
      <c r="D4" s="278"/>
      <c r="E4" s="278"/>
      <c r="F4" s="278"/>
      <c r="G4" s="278"/>
      <c r="H4" s="343" t="s">
        <v>259</v>
      </c>
      <c r="I4" s="344"/>
      <c r="J4" s="342"/>
      <c r="K4" s="147"/>
      <c r="N4" s="277"/>
    </row>
    <row r="5" spans="1:14" ht="15.75" customHeight="1" x14ac:dyDescent="0.25">
      <c r="A5" s="345"/>
      <c r="B5" s="346"/>
      <c r="C5" s="346"/>
      <c r="D5" s="346"/>
      <c r="E5" s="346"/>
      <c r="F5" s="346"/>
      <c r="G5" s="346"/>
      <c r="H5" s="346"/>
      <c r="I5" s="346"/>
      <c r="J5" s="347"/>
      <c r="K5" s="147"/>
      <c r="N5" s="149"/>
    </row>
    <row r="6" spans="1:14" ht="15" customHeight="1" x14ac:dyDescent="0.25">
      <c r="A6" s="348" t="str">
        <f>[3]CONTEXTO!A8</f>
        <v xml:space="preserve">PROCESO: </v>
      </c>
      <c r="B6" s="349"/>
      <c r="C6" s="349"/>
      <c r="D6" s="349"/>
      <c r="E6" s="349"/>
      <c r="F6" s="349"/>
      <c r="G6" s="349"/>
      <c r="H6" s="349"/>
      <c r="I6" s="349"/>
      <c r="J6" s="350"/>
    </row>
    <row r="7" spans="1:14" ht="32.25" customHeight="1" thickBot="1" x14ac:dyDescent="0.3">
      <c r="A7" s="351"/>
      <c r="B7" s="352"/>
      <c r="C7" s="352"/>
      <c r="D7" s="352"/>
      <c r="E7" s="352"/>
      <c r="F7" s="352"/>
      <c r="G7" s="352"/>
      <c r="H7" s="352"/>
      <c r="I7" s="352"/>
      <c r="J7" s="353"/>
    </row>
    <row r="8" spans="1:14" ht="23.25" customHeight="1" x14ac:dyDescent="0.25">
      <c r="A8" s="354" t="s">
        <v>246</v>
      </c>
      <c r="B8" s="354"/>
      <c r="C8" s="354"/>
      <c r="D8" s="354"/>
      <c r="E8" s="355" t="s">
        <v>218</v>
      </c>
      <c r="F8" s="356"/>
      <c r="G8" s="356"/>
      <c r="H8" s="356"/>
      <c r="I8" s="356"/>
      <c r="J8" s="357"/>
    </row>
    <row r="9" spans="1:14" ht="23.25" customHeight="1" x14ac:dyDescent="0.25">
      <c r="A9" s="354"/>
      <c r="B9" s="354"/>
      <c r="C9" s="354"/>
      <c r="D9" s="354"/>
      <c r="E9" s="358" t="s">
        <v>247</v>
      </c>
      <c r="F9" s="358"/>
      <c r="G9" s="358" t="s">
        <v>248</v>
      </c>
      <c r="H9" s="358"/>
      <c r="I9" s="358"/>
      <c r="J9" s="358"/>
    </row>
    <row r="10" spans="1:14" ht="23.25" customHeight="1" x14ac:dyDescent="0.3">
      <c r="A10" s="354"/>
      <c r="B10" s="354"/>
      <c r="C10" s="354"/>
      <c r="D10" s="354"/>
      <c r="E10" s="359" t="s">
        <v>249</v>
      </c>
      <c r="F10" s="359"/>
      <c r="G10" s="360" t="s">
        <v>250</v>
      </c>
      <c r="H10" s="361"/>
      <c r="I10" s="361"/>
      <c r="J10" s="362"/>
    </row>
    <row r="11" spans="1:14" ht="43.5" customHeight="1" x14ac:dyDescent="0.25">
      <c r="A11" s="354"/>
      <c r="B11" s="354"/>
      <c r="C11" s="354"/>
      <c r="D11" s="354"/>
      <c r="E11" s="222">
        <v>1</v>
      </c>
      <c r="F11" s="330" t="str">
        <f>'[4]PRIORIZACIÓN DE CAUSA'!B15</f>
        <v xml:space="preserve">Personal insuficiente para adelantar las labores de proceso administrativo y contractual. </v>
      </c>
      <c r="G11" s="329"/>
      <c r="H11" s="330" t="s">
        <v>314</v>
      </c>
      <c r="I11" s="330"/>
      <c r="J11" s="330"/>
    </row>
    <row r="12" spans="1:14" ht="43.5" customHeight="1" x14ac:dyDescent="0.25">
      <c r="A12" s="354"/>
      <c r="B12" s="354"/>
      <c r="C12" s="354"/>
      <c r="D12" s="354"/>
      <c r="E12" s="222">
        <v>2</v>
      </c>
      <c r="F12" s="330" t="str">
        <f>'[4]PRIORIZACIÓN DE CAUSA'!B16</f>
        <v xml:space="preserve">Falta de Etica y valores  y de aplicación del código de integridad y buen gobierno. </v>
      </c>
      <c r="G12" s="329"/>
      <c r="H12" s="330" t="s">
        <v>315</v>
      </c>
      <c r="I12" s="330"/>
      <c r="J12" s="330"/>
    </row>
    <row r="13" spans="1:14" ht="43.5" customHeight="1" x14ac:dyDescent="0.25">
      <c r="A13" s="354"/>
      <c r="B13" s="354"/>
      <c r="C13" s="354"/>
      <c r="D13" s="354"/>
      <c r="E13" s="222">
        <v>3</v>
      </c>
      <c r="F13" s="330" t="str">
        <f>'[4]PRIORIZACIÓN DE CAUSA'!B17</f>
        <v xml:space="preserve">Dificultad en la unificación de criterios para la realización de los procesos contractuales </v>
      </c>
      <c r="G13" s="329"/>
      <c r="H13" s="330" t="s">
        <v>316</v>
      </c>
      <c r="I13" s="330"/>
      <c r="J13" s="330"/>
    </row>
    <row r="14" spans="1:14" ht="43.5" customHeight="1" x14ac:dyDescent="0.25">
      <c r="A14" s="354"/>
      <c r="B14" s="354"/>
      <c r="C14" s="354"/>
      <c r="D14" s="354"/>
      <c r="E14" s="222">
        <v>4</v>
      </c>
      <c r="F14" s="330" t="str">
        <f>'[4]PRIORIZACIÓN DE CAUSA'!B18</f>
        <v>Falta de articulación entre las Secretarías ejecutoras, Secretaría de Planeación  y oficina de Contratación</v>
      </c>
      <c r="G14" s="329"/>
      <c r="H14" s="330" t="s">
        <v>317</v>
      </c>
      <c r="I14" s="330"/>
      <c r="J14" s="330"/>
    </row>
    <row r="15" spans="1:14" ht="49.5" customHeight="1" x14ac:dyDescent="0.25">
      <c r="A15" s="354"/>
      <c r="B15" s="354"/>
      <c r="C15" s="354"/>
      <c r="D15" s="354"/>
      <c r="E15" s="222">
        <v>5</v>
      </c>
      <c r="F15" s="330" t="str">
        <f>'[4]PRIORIZACIÓN DE CAUSA'!B19</f>
        <v xml:space="preserve">Equipos tecnológicos obsoletos, Sistemas de Información no integrados. </v>
      </c>
      <c r="G15" s="329"/>
      <c r="H15" s="330" t="s">
        <v>318</v>
      </c>
      <c r="I15" s="330"/>
      <c r="J15" s="330"/>
    </row>
    <row r="16" spans="1:14" ht="49.5" customHeight="1" x14ac:dyDescent="0.25">
      <c r="A16" s="354"/>
      <c r="B16" s="354"/>
      <c r="C16" s="354"/>
      <c r="D16" s="354"/>
      <c r="E16" s="222">
        <v>6</v>
      </c>
      <c r="F16" s="330" t="str">
        <f>'[4]PRIORIZACIÓN DE CAUSA'!B21</f>
        <v>Unidades administrativas ubicadas en diferentes sitios de la ciudad (Ibagué).</v>
      </c>
      <c r="G16" s="329"/>
      <c r="H16" s="330" t="s">
        <v>319</v>
      </c>
      <c r="I16" s="330"/>
      <c r="J16" s="330"/>
    </row>
    <row r="17" spans="1:10" ht="54.75" customHeight="1" x14ac:dyDescent="0.25">
      <c r="A17" s="354"/>
      <c r="B17" s="354"/>
      <c r="C17" s="354"/>
      <c r="D17" s="354"/>
      <c r="E17" s="222">
        <v>7</v>
      </c>
      <c r="F17" s="330" t="str">
        <f>'[4]PRIORIZACIÓN DE CAUSA'!B23</f>
        <v xml:space="preserve">Desactualización de la caracterización del proceso. </v>
      </c>
      <c r="G17" s="329"/>
      <c r="H17" s="330" t="s">
        <v>320</v>
      </c>
      <c r="I17" s="330"/>
      <c r="J17" s="330"/>
    </row>
    <row r="18" spans="1:10" ht="48.75" customHeight="1" x14ac:dyDescent="0.25">
      <c r="A18" s="354"/>
      <c r="B18" s="354"/>
      <c r="C18" s="354"/>
      <c r="D18" s="354"/>
      <c r="E18" s="222">
        <v>8</v>
      </c>
      <c r="F18" s="330" t="str">
        <f>'[4]PRIORIZACIÓN DE CAUSA'!B24</f>
        <v>Demoras en la recepción de la información contractual por parte de las secretarias ejecutoras.</v>
      </c>
      <c r="G18" s="329"/>
      <c r="H18" s="330" t="s">
        <v>321</v>
      </c>
      <c r="I18" s="330"/>
      <c r="J18" s="330"/>
    </row>
    <row r="19" spans="1:10" ht="54.75" customHeight="1" x14ac:dyDescent="0.25">
      <c r="A19" s="354"/>
      <c r="B19" s="354"/>
      <c r="C19" s="354"/>
      <c r="D19" s="354"/>
      <c r="E19" s="222">
        <v>9</v>
      </c>
      <c r="F19" s="330" t="str">
        <f>'[4]PRIORIZACIÓN DE CAUSA'!B25</f>
        <v xml:space="preserve">Desconocimiento de la caracterización, manuales, procedimientos, instructivos, guías, formatos y demas documentos propios del proceso por parte del personal nuevo. </v>
      </c>
      <c r="G19" s="329"/>
      <c r="H19" s="330" t="s">
        <v>322</v>
      </c>
      <c r="I19" s="330"/>
      <c r="J19" s="330"/>
    </row>
    <row r="20" spans="1:10" ht="59.25" customHeight="1" x14ac:dyDescent="0.25">
      <c r="A20" s="354"/>
      <c r="B20" s="354"/>
      <c r="C20" s="354"/>
      <c r="D20" s="354"/>
      <c r="E20" s="222">
        <v>10</v>
      </c>
      <c r="F20" s="330" t="str">
        <f>'[4]PRIORIZACIÓN DE CAUSA'!B26</f>
        <v>Falta de compromiso de los líderes de los procesos en la implementación de mejora, asociadas a los planes de mejoramiento</v>
      </c>
      <c r="G20" s="329"/>
      <c r="H20" s="330"/>
      <c r="I20" s="330"/>
      <c r="J20" s="330"/>
    </row>
    <row r="21" spans="1:10" ht="49.5" customHeight="1" x14ac:dyDescent="0.25">
      <c r="A21" s="354"/>
      <c r="B21" s="354"/>
      <c r="C21" s="354"/>
      <c r="D21" s="354"/>
      <c r="E21" s="222">
        <v>11</v>
      </c>
      <c r="F21" s="330" t="str">
        <f>'[4]PRIORIZACIÓN DE CAUSA'!B27</f>
        <v xml:space="preserve">Desconocimiento del estatuto contractual y sus decretos reglamentarios </v>
      </c>
      <c r="G21" s="329"/>
      <c r="H21" s="330" t="s">
        <v>323</v>
      </c>
      <c r="I21" s="330"/>
      <c r="J21" s="330"/>
    </row>
    <row r="22" spans="1:10" ht="49.5" customHeight="1" x14ac:dyDescent="0.25">
      <c r="A22" s="354"/>
      <c r="B22" s="354"/>
      <c r="C22" s="354"/>
      <c r="D22" s="354"/>
      <c r="E22" s="222">
        <v>12</v>
      </c>
      <c r="F22" s="330" t="str">
        <f>[4]CONTEXTO!D14</f>
        <v xml:space="preserve">Dificultad en la unificación de criterios para la realización de los procesos contractuales </v>
      </c>
      <c r="G22" s="329"/>
      <c r="H22" s="330"/>
      <c r="I22" s="330"/>
      <c r="J22" s="330"/>
    </row>
    <row r="23" spans="1:10" ht="49.5" customHeight="1" x14ac:dyDescent="0.25">
      <c r="A23" s="354"/>
      <c r="B23" s="354"/>
      <c r="C23" s="354"/>
      <c r="D23" s="354"/>
      <c r="E23" s="222">
        <v>13</v>
      </c>
      <c r="F23" s="328" t="s">
        <v>294</v>
      </c>
      <c r="G23" s="329"/>
      <c r="H23" s="330"/>
      <c r="I23" s="330"/>
      <c r="J23" s="330"/>
    </row>
    <row r="24" spans="1:10" ht="49.5" customHeight="1" x14ac:dyDescent="0.25">
      <c r="A24" s="354"/>
      <c r="B24" s="354"/>
      <c r="C24" s="354"/>
      <c r="D24" s="354"/>
      <c r="E24" s="222">
        <v>14</v>
      </c>
      <c r="F24" s="328" t="s">
        <v>297</v>
      </c>
      <c r="G24" s="329"/>
      <c r="H24" s="330"/>
      <c r="I24" s="330"/>
      <c r="J24" s="330"/>
    </row>
    <row r="25" spans="1:10" ht="49.5" customHeight="1" x14ac:dyDescent="0.25">
      <c r="A25" s="354"/>
      <c r="B25" s="354"/>
      <c r="C25" s="354"/>
      <c r="D25" s="354"/>
      <c r="E25" s="222">
        <v>15</v>
      </c>
      <c r="F25" s="328" t="s">
        <v>324</v>
      </c>
      <c r="G25" s="329"/>
      <c r="H25" s="330"/>
      <c r="I25" s="330"/>
      <c r="J25" s="330"/>
    </row>
    <row r="26" spans="1:10" ht="49.5" customHeight="1" x14ac:dyDescent="0.25">
      <c r="A26" s="354"/>
      <c r="B26" s="354"/>
      <c r="C26" s="354"/>
      <c r="D26" s="354"/>
      <c r="E26" s="222">
        <v>16</v>
      </c>
      <c r="F26" s="328" t="s">
        <v>303</v>
      </c>
      <c r="G26" s="329"/>
      <c r="H26" s="330"/>
      <c r="I26" s="330"/>
      <c r="J26" s="330"/>
    </row>
    <row r="27" spans="1:10" ht="49.5" customHeight="1" x14ac:dyDescent="0.25">
      <c r="A27" s="354"/>
      <c r="B27" s="354"/>
      <c r="C27" s="354"/>
      <c r="D27" s="354"/>
      <c r="E27" s="222">
        <v>17</v>
      </c>
      <c r="F27" s="330" t="s">
        <v>325</v>
      </c>
      <c r="G27" s="329"/>
      <c r="H27" s="330"/>
      <c r="I27" s="330"/>
      <c r="J27" s="330"/>
    </row>
    <row r="28" spans="1:10" ht="49.5" customHeight="1" x14ac:dyDescent="0.25">
      <c r="A28" s="354"/>
      <c r="B28" s="354"/>
      <c r="C28" s="354"/>
      <c r="D28" s="354"/>
      <c r="E28" s="222">
        <v>18</v>
      </c>
      <c r="F28" s="331" t="s">
        <v>326</v>
      </c>
      <c r="G28" s="332"/>
      <c r="H28" s="330"/>
      <c r="I28" s="330"/>
      <c r="J28" s="330"/>
    </row>
    <row r="29" spans="1:10" ht="51.75" customHeight="1" x14ac:dyDescent="0.25">
      <c r="A29" s="363" t="s">
        <v>216</v>
      </c>
      <c r="B29" s="363" t="s">
        <v>248</v>
      </c>
      <c r="C29" s="359" t="s">
        <v>251</v>
      </c>
      <c r="D29" s="359"/>
      <c r="E29" s="355" t="s">
        <v>252</v>
      </c>
      <c r="F29" s="357"/>
      <c r="G29" s="355" t="s">
        <v>253</v>
      </c>
      <c r="H29" s="356"/>
      <c r="I29" s="356"/>
      <c r="J29" s="357"/>
    </row>
    <row r="30" spans="1:10" ht="48.75" customHeight="1" x14ac:dyDescent="0.25">
      <c r="A30" s="363"/>
      <c r="B30" s="363"/>
      <c r="C30" s="337" t="s">
        <v>327</v>
      </c>
      <c r="D30" s="322"/>
      <c r="E30" s="321" t="s">
        <v>328</v>
      </c>
      <c r="F30" s="322"/>
      <c r="G30" s="321" t="s">
        <v>329</v>
      </c>
      <c r="H30" s="369"/>
      <c r="I30" s="369"/>
      <c r="J30" s="322"/>
    </row>
    <row r="31" spans="1:10" ht="51" customHeight="1" x14ac:dyDescent="0.25">
      <c r="A31" s="363"/>
      <c r="B31" s="363"/>
      <c r="C31" s="337" t="s">
        <v>330</v>
      </c>
      <c r="D31" s="322"/>
      <c r="E31" s="321" t="s">
        <v>331</v>
      </c>
      <c r="F31" s="322"/>
      <c r="G31" s="321" t="s">
        <v>332</v>
      </c>
      <c r="H31" s="369"/>
      <c r="I31" s="369"/>
      <c r="J31" s="322"/>
    </row>
    <row r="32" spans="1:10" ht="54.75" customHeight="1" x14ac:dyDescent="0.25">
      <c r="A32" s="363"/>
      <c r="B32" s="363"/>
      <c r="C32" s="370" t="s">
        <v>333</v>
      </c>
      <c r="D32" s="322"/>
      <c r="E32" s="321" t="s">
        <v>334</v>
      </c>
      <c r="F32" s="322"/>
      <c r="G32" s="321" t="s">
        <v>335</v>
      </c>
      <c r="H32" s="369"/>
      <c r="I32" s="369"/>
      <c r="J32" s="322"/>
    </row>
    <row r="33" spans="1:10" ht="49.5" customHeight="1" x14ac:dyDescent="0.3">
      <c r="A33" s="363"/>
      <c r="B33" s="363"/>
      <c r="C33" s="364" t="s">
        <v>336</v>
      </c>
      <c r="D33" s="322"/>
      <c r="E33" s="321" t="s">
        <v>337</v>
      </c>
      <c r="F33" s="322"/>
      <c r="G33" s="365"/>
      <c r="H33" s="366"/>
      <c r="I33" s="366"/>
      <c r="J33" s="367"/>
    </row>
    <row r="34" spans="1:10" ht="51" customHeight="1" x14ac:dyDescent="0.25">
      <c r="A34" s="363"/>
      <c r="B34" s="363"/>
      <c r="C34" s="368" t="s">
        <v>338</v>
      </c>
      <c r="D34" s="322"/>
      <c r="E34" s="321" t="s">
        <v>339</v>
      </c>
      <c r="F34" s="322"/>
      <c r="G34" s="333"/>
      <c r="H34" s="334"/>
      <c r="I34" s="334"/>
      <c r="J34" s="335"/>
    </row>
    <row r="35" spans="1:10" ht="52.5" customHeight="1" x14ac:dyDescent="0.25">
      <c r="A35" s="363"/>
      <c r="B35" s="363"/>
      <c r="C35" s="337" t="s">
        <v>340</v>
      </c>
      <c r="D35" s="322"/>
      <c r="E35" s="321" t="s">
        <v>341</v>
      </c>
      <c r="F35" s="322"/>
      <c r="G35" s="333"/>
      <c r="H35" s="334"/>
      <c r="I35" s="334"/>
      <c r="J35" s="335"/>
    </row>
    <row r="36" spans="1:10" ht="47.25" customHeight="1" x14ac:dyDescent="0.25">
      <c r="A36" s="363"/>
      <c r="B36" s="363"/>
      <c r="C36" s="337" t="s">
        <v>342</v>
      </c>
      <c r="D36" s="322"/>
      <c r="E36" s="321" t="s">
        <v>343</v>
      </c>
      <c r="F36" s="322"/>
      <c r="G36" s="333"/>
      <c r="H36" s="334"/>
      <c r="I36" s="334"/>
      <c r="J36" s="335"/>
    </row>
    <row r="37" spans="1:10" ht="51" customHeight="1" x14ac:dyDescent="0.25">
      <c r="A37" s="363"/>
      <c r="B37" s="363"/>
      <c r="C37" s="368" t="s">
        <v>344</v>
      </c>
      <c r="D37" s="322"/>
      <c r="E37" s="321" t="s">
        <v>345</v>
      </c>
      <c r="F37" s="322"/>
      <c r="G37" s="333"/>
      <c r="H37" s="334"/>
      <c r="I37" s="334"/>
      <c r="J37" s="335"/>
    </row>
    <row r="38" spans="1:10" ht="51" customHeight="1" x14ac:dyDescent="0.25">
      <c r="A38" s="363"/>
      <c r="B38" s="363"/>
      <c r="C38" s="337" t="s">
        <v>346</v>
      </c>
      <c r="D38" s="322"/>
      <c r="E38" s="321" t="s">
        <v>347</v>
      </c>
      <c r="F38" s="336"/>
      <c r="G38" s="333"/>
      <c r="H38" s="334"/>
      <c r="I38" s="334"/>
      <c r="J38" s="335"/>
    </row>
    <row r="39" spans="1:10" ht="51" customHeight="1" x14ac:dyDescent="0.25">
      <c r="A39" s="363"/>
      <c r="B39" s="363"/>
      <c r="C39" s="319" t="s">
        <v>348</v>
      </c>
      <c r="D39" s="320"/>
      <c r="E39" s="321" t="s">
        <v>349</v>
      </c>
      <c r="F39" s="322"/>
      <c r="G39" s="206"/>
      <c r="H39" s="205"/>
      <c r="I39" s="205"/>
      <c r="J39" s="204"/>
    </row>
    <row r="40" spans="1:10" ht="45.75" customHeight="1" x14ac:dyDescent="0.25">
      <c r="A40" s="363"/>
      <c r="B40" s="363"/>
      <c r="C40" s="319" t="s">
        <v>350</v>
      </c>
      <c r="D40" s="320"/>
      <c r="E40" s="321" t="s">
        <v>351</v>
      </c>
      <c r="F40" s="322"/>
      <c r="G40" s="206"/>
      <c r="H40" s="205"/>
      <c r="I40" s="205"/>
      <c r="J40" s="204"/>
    </row>
    <row r="41" spans="1:10" ht="90" customHeight="1" x14ac:dyDescent="0.25">
      <c r="A41" s="363"/>
      <c r="B41" s="363"/>
      <c r="C41" s="319" t="s">
        <v>352</v>
      </c>
      <c r="D41" s="320"/>
      <c r="E41" s="321" t="s">
        <v>353</v>
      </c>
      <c r="F41" s="322"/>
      <c r="G41" s="206"/>
      <c r="H41" s="205"/>
      <c r="I41" s="205"/>
      <c r="J41" s="204"/>
    </row>
    <row r="42" spans="1:10" ht="45.75" customHeight="1" x14ac:dyDescent="0.25">
      <c r="A42" s="363"/>
      <c r="B42" s="363"/>
      <c r="C42" s="202"/>
      <c r="D42" s="203"/>
      <c r="E42" s="323" t="s">
        <v>354</v>
      </c>
      <c r="F42" s="322"/>
      <c r="G42" s="206"/>
      <c r="H42" s="205"/>
      <c r="I42" s="205"/>
      <c r="J42" s="204"/>
    </row>
    <row r="43" spans="1:10" ht="45.75" customHeight="1" x14ac:dyDescent="0.25">
      <c r="A43" s="363"/>
      <c r="B43" s="363"/>
      <c r="C43" s="202"/>
      <c r="D43" s="203"/>
      <c r="E43" s="321" t="s">
        <v>355</v>
      </c>
      <c r="F43" s="324"/>
      <c r="G43" s="206"/>
      <c r="H43" s="205"/>
      <c r="I43" s="205"/>
      <c r="J43" s="204"/>
    </row>
    <row r="44" spans="1:10" ht="45.75" customHeight="1" x14ac:dyDescent="0.25">
      <c r="A44" s="363"/>
      <c r="B44" s="363"/>
      <c r="C44" s="202"/>
      <c r="D44" s="203"/>
      <c r="E44" s="325" t="s">
        <v>356</v>
      </c>
      <c r="F44" s="326"/>
      <c r="G44" s="206"/>
      <c r="H44" s="205"/>
      <c r="I44" s="205"/>
      <c r="J44" s="204"/>
    </row>
    <row r="45" spans="1:10" ht="45.75" customHeight="1" x14ac:dyDescent="0.25">
      <c r="A45" s="363"/>
      <c r="B45" s="363"/>
      <c r="C45" s="202"/>
      <c r="D45" s="203"/>
      <c r="E45" s="327" t="s">
        <v>357</v>
      </c>
      <c r="F45" s="327"/>
      <c r="G45" s="206"/>
      <c r="H45" s="205"/>
      <c r="I45" s="205"/>
      <c r="J45" s="204"/>
    </row>
    <row r="46" spans="1:10" ht="66" customHeight="1" x14ac:dyDescent="0.3">
      <c r="A46" s="363"/>
      <c r="B46" s="363" t="s">
        <v>247</v>
      </c>
      <c r="C46" s="359" t="s">
        <v>254</v>
      </c>
      <c r="D46" s="359"/>
      <c r="E46" s="371" t="s">
        <v>255</v>
      </c>
      <c r="F46" s="372"/>
      <c r="G46" s="373" t="s">
        <v>256</v>
      </c>
      <c r="H46" s="374"/>
      <c r="I46" s="374"/>
      <c r="J46" s="375"/>
    </row>
    <row r="47" spans="1:10" ht="51.75" customHeight="1" x14ac:dyDescent="0.25">
      <c r="A47" s="363"/>
      <c r="B47" s="363"/>
      <c r="C47" s="376" t="s">
        <v>273</v>
      </c>
      <c r="D47" s="377"/>
      <c r="E47" s="321" t="s">
        <v>358</v>
      </c>
      <c r="F47" s="322"/>
      <c r="G47" s="321" t="s">
        <v>359</v>
      </c>
      <c r="H47" s="369"/>
      <c r="I47" s="369"/>
      <c r="J47" s="322"/>
    </row>
    <row r="48" spans="1:10" ht="93" customHeight="1" x14ac:dyDescent="0.25">
      <c r="A48" s="363"/>
      <c r="B48" s="363"/>
      <c r="C48" s="376" t="s">
        <v>279</v>
      </c>
      <c r="D48" s="377" t="s">
        <v>279</v>
      </c>
      <c r="E48" s="321" t="s">
        <v>360</v>
      </c>
      <c r="F48" s="322"/>
      <c r="G48" s="321" t="s">
        <v>361</v>
      </c>
      <c r="H48" s="369"/>
      <c r="I48" s="369"/>
      <c r="J48" s="322"/>
    </row>
    <row r="49" spans="1:10" ht="67.5" customHeight="1" x14ac:dyDescent="0.25">
      <c r="A49" s="363"/>
      <c r="B49" s="363"/>
      <c r="C49" s="376" t="s">
        <v>284</v>
      </c>
      <c r="D49" s="377" t="s">
        <v>284</v>
      </c>
      <c r="E49" s="321" t="s">
        <v>362</v>
      </c>
      <c r="F49" s="322"/>
      <c r="G49" s="321" t="s">
        <v>363</v>
      </c>
      <c r="H49" s="369"/>
      <c r="I49" s="369"/>
      <c r="J49" s="322"/>
    </row>
    <row r="50" spans="1:10" ht="70.5" customHeight="1" x14ac:dyDescent="0.25">
      <c r="A50" s="363"/>
      <c r="B50" s="363"/>
      <c r="C50" s="376" t="s">
        <v>364</v>
      </c>
      <c r="D50" s="377" t="s">
        <v>364</v>
      </c>
      <c r="E50" s="321" t="s">
        <v>365</v>
      </c>
      <c r="F50" s="336"/>
      <c r="G50" s="333"/>
      <c r="H50" s="334"/>
      <c r="I50" s="334"/>
      <c r="J50" s="335"/>
    </row>
    <row r="51" spans="1:10" ht="45.75" customHeight="1" x14ac:dyDescent="0.25">
      <c r="A51" s="363"/>
      <c r="B51" s="363"/>
      <c r="C51" s="376" t="s">
        <v>366</v>
      </c>
      <c r="D51" s="377" t="s">
        <v>366</v>
      </c>
      <c r="E51" s="378" t="s">
        <v>367</v>
      </c>
      <c r="F51" s="379"/>
      <c r="G51" s="333"/>
      <c r="H51" s="334"/>
      <c r="I51" s="334"/>
      <c r="J51" s="335"/>
    </row>
    <row r="52" spans="1:10" ht="45.75" customHeight="1" x14ac:dyDescent="0.25">
      <c r="A52" s="363"/>
      <c r="B52" s="363"/>
      <c r="C52" s="333"/>
      <c r="D52" s="335"/>
      <c r="E52" s="333"/>
      <c r="F52" s="335"/>
      <c r="G52" s="333"/>
      <c r="H52" s="334"/>
      <c r="I52" s="334"/>
      <c r="J52" s="335"/>
    </row>
    <row r="53" spans="1:10" ht="45" customHeight="1" x14ac:dyDescent="0.25">
      <c r="A53" s="363"/>
      <c r="B53" s="363"/>
      <c r="C53" s="333"/>
      <c r="D53" s="335"/>
      <c r="E53" s="333"/>
      <c r="F53" s="335"/>
      <c r="G53" s="333"/>
      <c r="H53" s="334"/>
      <c r="I53" s="334"/>
      <c r="J53" s="335"/>
    </row>
    <row r="54" spans="1:10" ht="50.25" customHeight="1" x14ac:dyDescent="0.25">
      <c r="A54" s="363"/>
      <c r="B54" s="363"/>
      <c r="C54" s="333"/>
      <c r="D54" s="335"/>
      <c r="E54" s="333"/>
      <c r="F54" s="335"/>
      <c r="G54" s="333"/>
      <c r="H54" s="334"/>
      <c r="I54" s="334"/>
      <c r="J54" s="335"/>
    </row>
    <row r="55" spans="1:10" ht="52.5" customHeight="1" x14ac:dyDescent="0.25">
      <c r="A55" s="363"/>
      <c r="B55" s="363"/>
      <c r="C55" s="333"/>
      <c r="D55" s="335"/>
      <c r="E55" s="380"/>
      <c r="F55" s="381"/>
      <c r="G55" s="380"/>
      <c r="H55" s="382"/>
      <c r="I55" s="382"/>
      <c r="J55" s="381"/>
    </row>
    <row r="56" spans="1:10" ht="48" customHeight="1" x14ac:dyDescent="0.25">
      <c r="A56" s="363"/>
      <c r="B56" s="363"/>
      <c r="C56" s="333"/>
      <c r="D56" s="335"/>
      <c r="E56" s="333"/>
      <c r="F56" s="335"/>
      <c r="G56" s="333"/>
      <c r="H56" s="334"/>
      <c r="I56" s="334"/>
      <c r="J56" s="335"/>
    </row>
    <row r="57" spans="1:10" ht="46.5" customHeight="1" x14ac:dyDescent="0.25">
      <c r="A57" s="363"/>
      <c r="B57" s="363"/>
      <c r="C57" s="333"/>
      <c r="D57" s="335"/>
      <c r="E57" s="380"/>
      <c r="F57" s="381"/>
      <c r="G57" s="380"/>
      <c r="H57" s="382"/>
      <c r="I57" s="382"/>
      <c r="J57" s="381"/>
    </row>
    <row r="58" spans="1:10" ht="48" customHeight="1" x14ac:dyDescent="0.25">
      <c r="A58" s="363"/>
      <c r="B58" s="363"/>
      <c r="C58" s="333"/>
      <c r="D58" s="335"/>
      <c r="E58" s="333"/>
      <c r="F58" s="335"/>
      <c r="G58" s="333"/>
      <c r="H58" s="334"/>
      <c r="I58" s="334"/>
      <c r="J58" s="335"/>
    </row>
    <row r="59" spans="1:10" ht="53.25" customHeight="1" x14ac:dyDescent="0.25">
      <c r="A59" s="363"/>
      <c r="B59" s="363"/>
      <c r="C59" s="333"/>
      <c r="D59" s="335"/>
      <c r="E59" s="333"/>
      <c r="F59" s="335"/>
      <c r="G59" s="333"/>
      <c r="H59" s="334"/>
      <c r="I59" s="334"/>
      <c r="J59" s="335"/>
    </row>
    <row r="60" spans="1:10" ht="43.5" customHeight="1" x14ac:dyDescent="0.25">
      <c r="A60" s="363"/>
      <c r="B60" s="363"/>
      <c r="C60" s="383"/>
      <c r="D60" s="383"/>
      <c r="E60" s="383"/>
      <c r="F60" s="383"/>
      <c r="G60" s="383"/>
      <c r="H60" s="383"/>
      <c r="I60" s="383"/>
      <c r="J60" s="383"/>
    </row>
    <row r="61" spans="1:10" ht="48.75" customHeight="1" x14ac:dyDescent="0.25">
      <c r="A61" s="363"/>
      <c r="B61" s="363"/>
      <c r="C61" s="383"/>
      <c r="D61" s="383"/>
      <c r="E61" s="383"/>
      <c r="F61" s="383"/>
      <c r="G61" s="383"/>
      <c r="H61" s="383"/>
      <c r="I61" s="383"/>
      <c r="J61" s="383"/>
    </row>
    <row r="62" spans="1:10" x14ac:dyDescent="0.25">
      <c r="C62" s="201"/>
      <c r="D62" s="201"/>
      <c r="E62" s="385"/>
      <c r="F62" s="385"/>
      <c r="G62" s="385"/>
      <c r="H62" s="385"/>
      <c r="I62" s="385"/>
      <c r="J62" s="385"/>
    </row>
    <row r="63" spans="1:10" x14ac:dyDescent="0.25">
      <c r="C63" s="201"/>
      <c r="D63" s="201"/>
      <c r="E63" s="385"/>
      <c r="F63" s="385"/>
      <c r="G63" s="385"/>
      <c r="H63" s="385"/>
      <c r="I63" s="385"/>
      <c r="J63" s="385"/>
    </row>
    <row r="64" spans="1:10" x14ac:dyDescent="0.25">
      <c r="E64" s="384"/>
      <c r="F64" s="384"/>
      <c r="G64" s="384"/>
      <c r="H64" s="384"/>
      <c r="I64" s="384"/>
      <c r="J64" s="384"/>
    </row>
    <row r="65" spans="5:10" x14ac:dyDescent="0.25">
      <c r="E65" s="384"/>
      <c r="F65" s="384"/>
      <c r="G65" s="384"/>
      <c r="H65" s="384"/>
      <c r="I65" s="384"/>
      <c r="J65" s="384"/>
    </row>
    <row r="66" spans="5:10" x14ac:dyDescent="0.25">
      <c r="E66" s="384"/>
      <c r="F66" s="384"/>
      <c r="G66" s="384"/>
      <c r="H66" s="384"/>
      <c r="I66" s="384"/>
      <c r="J66" s="384"/>
    </row>
    <row r="67" spans="5:10" x14ac:dyDescent="0.25">
      <c r="E67" s="384"/>
      <c r="F67" s="384"/>
      <c r="G67" s="384"/>
      <c r="H67" s="384"/>
      <c r="I67" s="384"/>
      <c r="J67" s="384"/>
    </row>
    <row r="68" spans="5:10" x14ac:dyDescent="0.25">
      <c r="E68" s="384"/>
      <c r="F68" s="384"/>
      <c r="G68" s="384"/>
      <c r="H68" s="384"/>
      <c r="I68" s="384"/>
      <c r="J68" s="384"/>
    </row>
    <row r="69" spans="5:10" x14ac:dyDescent="0.25">
      <c r="E69" s="384"/>
      <c r="F69" s="384"/>
      <c r="G69" s="384"/>
      <c r="H69" s="384"/>
      <c r="I69" s="384"/>
      <c r="J69" s="384"/>
    </row>
    <row r="70" spans="5:10" x14ac:dyDescent="0.25">
      <c r="E70" s="384"/>
      <c r="F70" s="384"/>
      <c r="G70" s="384"/>
      <c r="H70" s="384"/>
      <c r="I70" s="384"/>
      <c r="J70" s="384"/>
    </row>
    <row r="71" spans="5:10" x14ac:dyDescent="0.25">
      <c r="E71" s="384"/>
      <c r="F71" s="384"/>
      <c r="G71" s="384"/>
      <c r="H71" s="384"/>
      <c r="I71" s="384"/>
      <c r="J71" s="384"/>
    </row>
    <row r="72" spans="5:10" x14ac:dyDescent="0.25">
      <c r="E72" s="384"/>
      <c r="F72" s="384"/>
      <c r="G72" s="384"/>
      <c r="H72" s="384"/>
      <c r="I72" s="384"/>
      <c r="J72" s="384"/>
    </row>
    <row r="73" spans="5:10" x14ac:dyDescent="0.25">
      <c r="E73" s="384"/>
      <c r="F73" s="384"/>
      <c r="G73" s="384"/>
      <c r="H73" s="384"/>
      <c r="I73" s="384"/>
      <c r="J73" s="384"/>
    </row>
    <row r="74" spans="5:10" x14ac:dyDescent="0.25">
      <c r="E74" s="384"/>
      <c r="F74" s="384"/>
      <c r="G74" s="384"/>
      <c r="H74" s="384"/>
      <c r="I74" s="384"/>
      <c r="J74" s="384"/>
    </row>
    <row r="75" spans="5:10" x14ac:dyDescent="0.25">
      <c r="E75" s="384"/>
      <c r="F75" s="384"/>
      <c r="G75" s="384"/>
      <c r="H75" s="384"/>
      <c r="I75" s="384"/>
      <c r="J75" s="384"/>
    </row>
    <row r="76" spans="5:10" x14ac:dyDescent="0.25">
      <c r="E76" s="384"/>
      <c r="F76" s="384"/>
      <c r="G76" s="384"/>
      <c r="H76" s="384"/>
      <c r="I76" s="384"/>
      <c r="J76" s="384"/>
    </row>
    <row r="77" spans="5:10" x14ac:dyDescent="0.25">
      <c r="E77" s="384"/>
      <c r="F77" s="384"/>
      <c r="G77" s="384"/>
      <c r="H77" s="384"/>
      <c r="I77" s="384"/>
      <c r="J77" s="384"/>
    </row>
    <row r="78" spans="5:10" x14ac:dyDescent="0.25">
      <c r="E78" s="384"/>
      <c r="F78" s="384"/>
      <c r="G78" s="384"/>
      <c r="H78" s="384"/>
      <c r="I78" s="384"/>
      <c r="J78" s="384"/>
    </row>
    <row r="79" spans="5:10" x14ac:dyDescent="0.25">
      <c r="E79" s="384"/>
      <c r="F79" s="384"/>
      <c r="G79" s="384"/>
      <c r="H79" s="384"/>
      <c r="I79" s="384"/>
      <c r="J79" s="384"/>
    </row>
    <row r="80" spans="5:10" x14ac:dyDescent="0.25">
      <c r="E80" s="384"/>
      <c r="F80" s="384"/>
      <c r="G80" s="384"/>
      <c r="H80" s="384"/>
      <c r="I80" s="384"/>
      <c r="J80" s="384"/>
    </row>
    <row r="81" spans="5:10" x14ac:dyDescent="0.25">
      <c r="E81" s="384"/>
      <c r="F81" s="384"/>
      <c r="G81" s="384"/>
      <c r="H81" s="384"/>
      <c r="I81" s="384"/>
      <c r="J81" s="384"/>
    </row>
    <row r="82" spans="5:10" x14ac:dyDescent="0.25">
      <c r="E82" s="384"/>
      <c r="F82" s="384"/>
      <c r="G82" s="384"/>
      <c r="H82" s="384"/>
      <c r="I82" s="384"/>
      <c r="J82" s="384"/>
    </row>
    <row r="83" spans="5:10" x14ac:dyDescent="0.25">
      <c r="E83" s="384"/>
      <c r="F83" s="384"/>
      <c r="G83" s="384"/>
      <c r="H83" s="384"/>
      <c r="I83" s="384"/>
      <c r="J83" s="384"/>
    </row>
    <row r="84" spans="5:10" x14ac:dyDescent="0.25">
      <c r="E84" s="384"/>
      <c r="F84" s="384"/>
      <c r="G84" s="384"/>
      <c r="H84" s="384"/>
      <c r="I84" s="384"/>
      <c r="J84" s="384"/>
    </row>
    <row r="85" spans="5:10" x14ac:dyDescent="0.25">
      <c r="E85" s="384"/>
      <c r="F85" s="384"/>
      <c r="G85" s="384"/>
      <c r="H85" s="384"/>
      <c r="I85" s="384"/>
      <c r="J85" s="384"/>
    </row>
    <row r="86" spans="5:10" x14ac:dyDescent="0.25">
      <c r="E86" s="384"/>
      <c r="F86" s="384"/>
      <c r="G86" s="384"/>
      <c r="H86" s="384"/>
      <c r="I86" s="384"/>
      <c r="J86" s="384"/>
    </row>
    <row r="87" spans="5:10" x14ac:dyDescent="0.25">
      <c r="E87" s="384"/>
      <c r="F87" s="384"/>
      <c r="G87" s="384"/>
      <c r="H87" s="384"/>
      <c r="I87" s="384"/>
      <c r="J87" s="384"/>
    </row>
    <row r="88" spans="5:10" x14ac:dyDescent="0.25">
      <c r="E88" s="384"/>
      <c r="F88" s="384"/>
      <c r="G88" s="384"/>
      <c r="H88" s="384"/>
      <c r="I88" s="384"/>
      <c r="J88" s="384"/>
    </row>
    <row r="89" spans="5:10" x14ac:dyDescent="0.25">
      <c r="E89" s="384"/>
      <c r="F89" s="384"/>
      <c r="G89" s="384"/>
      <c r="H89" s="384"/>
      <c r="I89" s="384"/>
      <c r="J89" s="384"/>
    </row>
    <row r="90" spans="5:10" x14ac:dyDescent="0.25">
      <c r="E90" s="384"/>
      <c r="F90" s="384"/>
      <c r="G90" s="384"/>
      <c r="H90" s="384"/>
      <c r="I90" s="384"/>
      <c r="J90" s="384"/>
    </row>
    <row r="91" spans="5:10" x14ac:dyDescent="0.25">
      <c r="E91" s="384"/>
      <c r="F91" s="384"/>
      <c r="G91" s="384"/>
      <c r="H91" s="384"/>
      <c r="I91" s="384"/>
      <c r="J91" s="384"/>
    </row>
    <row r="92" spans="5:10" x14ac:dyDescent="0.25">
      <c r="E92" s="384"/>
      <c r="F92" s="384"/>
      <c r="G92" s="384"/>
      <c r="H92" s="384"/>
      <c r="I92" s="384"/>
      <c r="J92" s="384"/>
    </row>
    <row r="93" spans="5:10" x14ac:dyDescent="0.25">
      <c r="E93" s="384"/>
      <c r="F93" s="384"/>
      <c r="G93" s="384"/>
      <c r="H93" s="384"/>
      <c r="I93" s="384"/>
      <c r="J93" s="384"/>
    </row>
    <row r="94" spans="5:10" x14ac:dyDescent="0.25">
      <c r="E94" s="384"/>
      <c r="F94" s="384"/>
      <c r="G94" s="384"/>
      <c r="H94" s="384"/>
      <c r="I94" s="384"/>
      <c r="J94" s="384"/>
    </row>
    <row r="95" spans="5:10" x14ac:dyDescent="0.25">
      <c r="E95" s="384"/>
      <c r="F95" s="384"/>
      <c r="G95" s="384"/>
      <c r="H95" s="384"/>
      <c r="I95" s="384"/>
      <c r="J95" s="384"/>
    </row>
    <row r="96" spans="5:10" x14ac:dyDescent="0.25">
      <c r="E96" s="384"/>
      <c r="F96" s="384"/>
      <c r="G96" s="384"/>
      <c r="H96" s="384"/>
      <c r="I96" s="384"/>
      <c r="J96" s="384"/>
    </row>
    <row r="97" spans="5:10" x14ac:dyDescent="0.25">
      <c r="E97" s="384"/>
      <c r="F97" s="384"/>
      <c r="G97" s="384"/>
      <c r="H97" s="384"/>
      <c r="I97" s="384"/>
      <c r="J97" s="384"/>
    </row>
    <row r="98" spans="5:10" x14ac:dyDescent="0.25">
      <c r="E98" s="384"/>
      <c r="F98" s="384"/>
      <c r="G98" s="384"/>
      <c r="H98" s="384"/>
      <c r="I98" s="384"/>
      <c r="J98" s="384"/>
    </row>
    <row r="99" spans="5:10" x14ac:dyDescent="0.25">
      <c r="E99" s="384"/>
      <c r="F99" s="384"/>
      <c r="G99" s="384"/>
      <c r="H99" s="384"/>
      <c r="I99" s="384"/>
      <c r="J99" s="384"/>
    </row>
    <row r="100" spans="5:10" x14ac:dyDescent="0.25">
      <c r="E100" s="384"/>
      <c r="F100" s="384"/>
      <c r="G100" s="384"/>
      <c r="H100" s="384"/>
      <c r="I100" s="384"/>
      <c r="J100" s="384"/>
    </row>
    <row r="101" spans="5:10" x14ac:dyDescent="0.25">
      <c r="E101" s="384"/>
      <c r="F101" s="384"/>
      <c r="G101" s="384"/>
      <c r="H101" s="384"/>
      <c r="I101" s="384"/>
      <c r="J101" s="384"/>
    </row>
    <row r="102" spans="5:10" x14ac:dyDescent="0.25">
      <c r="E102" s="384"/>
      <c r="F102" s="384"/>
      <c r="G102" s="384"/>
      <c r="H102" s="384"/>
      <c r="I102" s="384"/>
      <c r="J102" s="384"/>
    </row>
    <row r="103" spans="5:10" x14ac:dyDescent="0.25">
      <c r="E103" s="384"/>
      <c r="F103" s="384"/>
      <c r="G103" s="384"/>
      <c r="H103" s="384"/>
      <c r="I103" s="384"/>
      <c r="J103" s="384"/>
    </row>
    <row r="104" spans="5:10" x14ac:dyDescent="0.25">
      <c r="E104" s="384"/>
      <c r="F104" s="384"/>
      <c r="G104" s="384"/>
      <c r="H104" s="384"/>
      <c r="I104" s="384"/>
      <c r="J104" s="384"/>
    </row>
    <row r="105" spans="5:10" x14ac:dyDescent="0.25">
      <c r="E105" s="384"/>
      <c r="F105" s="384"/>
      <c r="G105" s="384"/>
      <c r="H105" s="384"/>
      <c r="I105" s="384"/>
      <c r="J105" s="384"/>
    </row>
    <row r="106" spans="5:10" x14ac:dyDescent="0.25">
      <c r="E106" s="384"/>
      <c r="F106" s="384"/>
      <c r="G106" s="384"/>
      <c r="H106" s="384"/>
      <c r="I106" s="384"/>
      <c r="J106" s="384"/>
    </row>
    <row r="107" spans="5:10" x14ac:dyDescent="0.25">
      <c r="E107" s="384"/>
      <c r="F107" s="384"/>
      <c r="G107" s="384"/>
      <c r="H107" s="384"/>
      <c r="I107" s="384"/>
      <c r="J107" s="384"/>
    </row>
    <row r="108" spans="5:10" x14ac:dyDescent="0.25">
      <c r="E108" s="384"/>
      <c r="F108" s="384"/>
      <c r="G108" s="384"/>
      <c r="H108" s="384"/>
      <c r="I108" s="384"/>
      <c r="J108" s="384"/>
    </row>
    <row r="109" spans="5:10" x14ac:dyDescent="0.25">
      <c r="E109" s="384"/>
      <c r="F109" s="384"/>
      <c r="G109" s="384"/>
      <c r="H109" s="384"/>
      <c r="I109" s="384"/>
      <c r="J109" s="384"/>
    </row>
    <row r="110" spans="5:10" x14ac:dyDescent="0.25">
      <c r="E110" s="384"/>
      <c r="F110" s="384"/>
      <c r="G110" s="384"/>
      <c r="H110" s="384"/>
      <c r="I110" s="384"/>
      <c r="J110" s="384"/>
    </row>
    <row r="111" spans="5:10" x14ac:dyDescent="0.25">
      <c r="E111" s="384"/>
      <c r="F111" s="384"/>
      <c r="G111" s="384"/>
      <c r="H111" s="384"/>
      <c r="I111" s="384"/>
      <c r="J111" s="384"/>
    </row>
    <row r="112" spans="5:10" x14ac:dyDescent="0.25">
      <c r="E112" s="384"/>
      <c r="F112" s="384"/>
      <c r="G112" s="384"/>
      <c r="H112" s="384"/>
      <c r="I112" s="384"/>
      <c r="J112" s="384"/>
    </row>
    <row r="113" spans="5:10" x14ac:dyDescent="0.25">
      <c r="E113" s="384"/>
      <c r="F113" s="384"/>
      <c r="G113" s="384"/>
      <c r="H113" s="384"/>
      <c r="I113" s="384"/>
      <c r="J113" s="384"/>
    </row>
    <row r="114" spans="5:10" x14ac:dyDescent="0.25">
      <c r="E114" s="384"/>
      <c r="F114" s="384"/>
      <c r="G114" s="384"/>
      <c r="H114" s="384"/>
      <c r="I114" s="384"/>
      <c r="J114" s="384"/>
    </row>
    <row r="115" spans="5:10" x14ac:dyDescent="0.25">
      <c r="E115" s="384"/>
      <c r="F115" s="384"/>
      <c r="G115" s="384"/>
      <c r="H115" s="384"/>
      <c r="I115" s="384"/>
      <c r="J115" s="384"/>
    </row>
    <row r="116" spans="5:10" x14ac:dyDescent="0.25">
      <c r="E116" s="384"/>
      <c r="F116" s="384"/>
      <c r="G116" s="384"/>
      <c r="H116" s="384"/>
      <c r="I116" s="384"/>
      <c r="J116" s="384"/>
    </row>
    <row r="117" spans="5:10" x14ac:dyDescent="0.25">
      <c r="E117" s="384"/>
      <c r="F117" s="384"/>
      <c r="G117" s="384"/>
      <c r="H117" s="384"/>
      <c r="I117" s="384"/>
      <c r="J117" s="384"/>
    </row>
    <row r="118" spans="5:10" x14ac:dyDescent="0.25">
      <c r="E118" s="384"/>
      <c r="F118" s="384"/>
      <c r="G118" s="384"/>
      <c r="H118" s="384"/>
      <c r="I118" s="384"/>
      <c r="J118" s="384"/>
    </row>
    <row r="119" spans="5:10" x14ac:dyDescent="0.25">
      <c r="E119" s="384"/>
      <c r="F119" s="384"/>
      <c r="G119" s="384"/>
      <c r="H119" s="384"/>
      <c r="I119" s="384"/>
      <c r="J119" s="384"/>
    </row>
    <row r="120" spans="5:10" x14ac:dyDescent="0.25">
      <c r="E120" s="384"/>
      <c r="F120" s="384"/>
      <c r="G120" s="384"/>
      <c r="H120" s="384"/>
      <c r="I120" s="384"/>
      <c r="J120" s="384"/>
    </row>
    <row r="121" spans="5:10" x14ac:dyDescent="0.25">
      <c r="E121" s="384"/>
      <c r="F121" s="384"/>
      <c r="G121" s="384"/>
      <c r="H121" s="384"/>
      <c r="I121" s="384"/>
      <c r="J121" s="384"/>
    </row>
    <row r="122" spans="5:10" x14ac:dyDescent="0.25">
      <c r="E122" s="384"/>
      <c r="F122" s="384"/>
      <c r="G122" s="384"/>
      <c r="H122" s="384"/>
      <c r="I122" s="384"/>
      <c r="J122" s="384"/>
    </row>
    <row r="123" spans="5:10" x14ac:dyDescent="0.25">
      <c r="E123" s="384"/>
      <c r="F123" s="384"/>
      <c r="G123" s="384"/>
      <c r="H123" s="384"/>
      <c r="I123" s="384"/>
      <c r="J123" s="384"/>
    </row>
    <row r="124" spans="5:10" x14ac:dyDescent="0.25">
      <c r="E124" s="384"/>
      <c r="F124" s="384"/>
      <c r="G124" s="384"/>
      <c r="H124" s="384"/>
      <c r="I124" s="384"/>
      <c r="J124" s="384"/>
    </row>
    <row r="125" spans="5:10" x14ac:dyDescent="0.25">
      <c r="E125" s="384"/>
      <c r="F125" s="384"/>
      <c r="G125" s="384"/>
      <c r="H125" s="384"/>
      <c r="I125" s="384"/>
      <c r="J125" s="384"/>
    </row>
    <row r="126" spans="5:10" x14ac:dyDescent="0.25">
      <c r="E126" s="384"/>
      <c r="F126" s="384"/>
      <c r="G126" s="384"/>
      <c r="H126" s="384"/>
      <c r="I126" s="384"/>
      <c r="J126" s="384"/>
    </row>
    <row r="127" spans="5:10" x14ac:dyDescent="0.25">
      <c r="E127" s="384"/>
      <c r="F127" s="384"/>
      <c r="G127" s="384"/>
      <c r="H127" s="384"/>
      <c r="I127" s="384"/>
      <c r="J127" s="384"/>
    </row>
    <row r="128" spans="5:10" x14ac:dyDescent="0.25">
      <c r="E128" s="384"/>
      <c r="F128" s="384"/>
      <c r="G128" s="384"/>
      <c r="H128" s="384"/>
      <c r="I128" s="384"/>
      <c r="J128" s="384"/>
    </row>
    <row r="129" spans="5:10" x14ac:dyDescent="0.25">
      <c r="E129" s="384"/>
      <c r="F129" s="384"/>
      <c r="G129" s="384"/>
      <c r="H129" s="384"/>
      <c r="I129" s="384"/>
      <c r="J129" s="384"/>
    </row>
    <row r="130" spans="5:10" x14ac:dyDescent="0.25">
      <c r="E130" s="384"/>
      <c r="F130" s="384"/>
      <c r="G130" s="384"/>
      <c r="H130" s="384"/>
      <c r="I130" s="384"/>
      <c r="J130" s="384"/>
    </row>
    <row r="131" spans="5:10" x14ac:dyDescent="0.25">
      <c r="E131" s="384"/>
      <c r="F131" s="384"/>
      <c r="G131" s="384"/>
      <c r="H131" s="384"/>
      <c r="I131" s="384"/>
      <c r="J131" s="384"/>
    </row>
    <row r="132" spans="5:10" x14ac:dyDescent="0.25">
      <c r="E132" s="384"/>
      <c r="F132" s="384"/>
      <c r="G132" s="384"/>
      <c r="H132" s="384"/>
      <c r="I132" s="384"/>
      <c r="J132" s="384"/>
    </row>
    <row r="133" spans="5:10" x14ac:dyDescent="0.25">
      <c r="E133" s="384"/>
      <c r="F133" s="384"/>
      <c r="G133" s="384"/>
      <c r="H133" s="384"/>
      <c r="I133" s="384"/>
      <c r="J133" s="384"/>
    </row>
    <row r="134" spans="5:10" x14ac:dyDescent="0.25">
      <c r="E134" s="384"/>
      <c r="F134" s="384"/>
      <c r="G134" s="384"/>
      <c r="H134" s="384"/>
      <c r="I134" s="384"/>
      <c r="J134" s="384"/>
    </row>
    <row r="135" spans="5:10" x14ac:dyDescent="0.25">
      <c r="E135" s="384"/>
      <c r="F135" s="384"/>
      <c r="G135" s="384"/>
      <c r="H135" s="384"/>
      <c r="I135" s="384"/>
      <c r="J135" s="384"/>
    </row>
    <row r="136" spans="5:10" x14ac:dyDescent="0.25">
      <c r="E136" s="384"/>
      <c r="F136" s="384"/>
      <c r="G136" s="384"/>
      <c r="H136" s="384"/>
      <c r="I136" s="384"/>
      <c r="J136" s="384"/>
    </row>
    <row r="137" spans="5:10" x14ac:dyDescent="0.25">
      <c r="E137" s="384"/>
      <c r="F137" s="384"/>
      <c r="G137" s="384"/>
      <c r="H137" s="384"/>
      <c r="I137" s="384"/>
      <c r="J137" s="384"/>
    </row>
    <row r="138" spans="5:10" x14ac:dyDescent="0.25">
      <c r="E138" s="384"/>
      <c r="F138" s="384"/>
      <c r="G138" s="384"/>
      <c r="H138" s="384"/>
      <c r="I138" s="384"/>
      <c r="J138" s="384"/>
    </row>
    <row r="139" spans="5:10" x14ac:dyDescent="0.25">
      <c r="E139" s="384"/>
      <c r="F139" s="384"/>
      <c r="G139" s="384"/>
      <c r="H139" s="384"/>
      <c r="I139" s="384"/>
      <c r="J139" s="384"/>
    </row>
  </sheetData>
  <mergeCells count="300">
    <mergeCell ref="E137:F137"/>
    <mergeCell ref="G137:J137"/>
    <mergeCell ref="E138:F138"/>
    <mergeCell ref="G138:J138"/>
    <mergeCell ref="E139:F139"/>
    <mergeCell ref="G139:J139"/>
    <mergeCell ref="E134:F134"/>
    <mergeCell ref="G134:J134"/>
    <mergeCell ref="E135:F135"/>
    <mergeCell ref="G135:J135"/>
    <mergeCell ref="E136:F136"/>
    <mergeCell ref="G136:J136"/>
    <mergeCell ref="E131:F131"/>
    <mergeCell ref="G131:J131"/>
    <mergeCell ref="E132:F132"/>
    <mergeCell ref="G132:J132"/>
    <mergeCell ref="E133:F133"/>
    <mergeCell ref="G133:J133"/>
    <mergeCell ref="E128:F128"/>
    <mergeCell ref="G128:J128"/>
    <mergeCell ref="E129:F129"/>
    <mergeCell ref="G129:J129"/>
    <mergeCell ref="E130:F130"/>
    <mergeCell ref="G130:J130"/>
    <mergeCell ref="E125:F125"/>
    <mergeCell ref="G125:J125"/>
    <mergeCell ref="E126:F126"/>
    <mergeCell ref="G126:J126"/>
    <mergeCell ref="E127:F127"/>
    <mergeCell ref="G127:J127"/>
    <mergeCell ref="E122:F122"/>
    <mergeCell ref="G122:J122"/>
    <mergeCell ref="E123:F123"/>
    <mergeCell ref="G123:J123"/>
    <mergeCell ref="E124:F124"/>
    <mergeCell ref="G124:J124"/>
    <mergeCell ref="E119:F119"/>
    <mergeCell ref="G119:J119"/>
    <mergeCell ref="E120:F120"/>
    <mergeCell ref="G120:J120"/>
    <mergeCell ref="E121:F121"/>
    <mergeCell ref="G121:J121"/>
    <mergeCell ref="E116:F116"/>
    <mergeCell ref="G116:J116"/>
    <mergeCell ref="E117:F117"/>
    <mergeCell ref="G117:J117"/>
    <mergeCell ref="E118:F118"/>
    <mergeCell ref="G118:J118"/>
    <mergeCell ref="E113:F113"/>
    <mergeCell ref="G113:J113"/>
    <mergeCell ref="E114:F114"/>
    <mergeCell ref="G114:J114"/>
    <mergeCell ref="E115:F115"/>
    <mergeCell ref="G115:J115"/>
    <mergeCell ref="E110:F110"/>
    <mergeCell ref="G110:J110"/>
    <mergeCell ref="E111:F111"/>
    <mergeCell ref="G111:J111"/>
    <mergeCell ref="E112:F112"/>
    <mergeCell ref="G112:J112"/>
    <mergeCell ref="E107:F107"/>
    <mergeCell ref="G107:J107"/>
    <mergeCell ref="E108:F108"/>
    <mergeCell ref="G108:J108"/>
    <mergeCell ref="E109:F109"/>
    <mergeCell ref="G109:J109"/>
    <mergeCell ref="E104:F104"/>
    <mergeCell ref="G104:J104"/>
    <mergeCell ref="E105:F105"/>
    <mergeCell ref="G105:J105"/>
    <mergeCell ref="E106:F106"/>
    <mergeCell ref="G106:J106"/>
    <mergeCell ref="E101:F101"/>
    <mergeCell ref="G101:J101"/>
    <mergeCell ref="E102:F102"/>
    <mergeCell ref="G102:J102"/>
    <mergeCell ref="E103:F103"/>
    <mergeCell ref="G103:J103"/>
    <mergeCell ref="E98:F98"/>
    <mergeCell ref="G98:J98"/>
    <mergeCell ref="E99:F99"/>
    <mergeCell ref="G99:J99"/>
    <mergeCell ref="E100:F100"/>
    <mergeCell ref="G100:J100"/>
    <mergeCell ref="E95:F95"/>
    <mergeCell ref="G95:J95"/>
    <mergeCell ref="E96:F96"/>
    <mergeCell ref="G96:J96"/>
    <mergeCell ref="E97:F97"/>
    <mergeCell ref="G97:J97"/>
    <mergeCell ref="E92:F92"/>
    <mergeCell ref="G92:J92"/>
    <mergeCell ref="E93:F93"/>
    <mergeCell ref="G93:J93"/>
    <mergeCell ref="E94:F94"/>
    <mergeCell ref="G94:J94"/>
    <mergeCell ref="E89:F89"/>
    <mergeCell ref="G89:J89"/>
    <mergeCell ref="E90:F90"/>
    <mergeCell ref="G90:J90"/>
    <mergeCell ref="E91:F91"/>
    <mergeCell ref="G91:J91"/>
    <mergeCell ref="E86:F86"/>
    <mergeCell ref="G86:J86"/>
    <mergeCell ref="E87:F87"/>
    <mergeCell ref="G87:J87"/>
    <mergeCell ref="E88:F88"/>
    <mergeCell ref="G88:J88"/>
    <mergeCell ref="E83:F83"/>
    <mergeCell ref="G83:J83"/>
    <mergeCell ref="E84:F84"/>
    <mergeCell ref="G84:J84"/>
    <mergeCell ref="E85:F85"/>
    <mergeCell ref="G85:J85"/>
    <mergeCell ref="E80:F80"/>
    <mergeCell ref="G80:J80"/>
    <mergeCell ref="E81:F81"/>
    <mergeCell ref="G81:J81"/>
    <mergeCell ref="E82:F82"/>
    <mergeCell ref="G82:J82"/>
    <mergeCell ref="E77:F77"/>
    <mergeCell ref="G77:J77"/>
    <mergeCell ref="E78:F78"/>
    <mergeCell ref="G78:J78"/>
    <mergeCell ref="E79:F79"/>
    <mergeCell ref="G79:J79"/>
    <mergeCell ref="E74:F74"/>
    <mergeCell ref="G74:J74"/>
    <mergeCell ref="E75:F75"/>
    <mergeCell ref="G75:J75"/>
    <mergeCell ref="E76:F76"/>
    <mergeCell ref="G76:J76"/>
    <mergeCell ref="E71:F71"/>
    <mergeCell ref="G71:J71"/>
    <mergeCell ref="E72:F72"/>
    <mergeCell ref="G72:J72"/>
    <mergeCell ref="E73:F73"/>
    <mergeCell ref="G73:J73"/>
    <mergeCell ref="E68:F68"/>
    <mergeCell ref="G68:J68"/>
    <mergeCell ref="E69:F69"/>
    <mergeCell ref="G69:J69"/>
    <mergeCell ref="E70:F70"/>
    <mergeCell ref="G70:J70"/>
    <mergeCell ref="E65:F65"/>
    <mergeCell ref="G65:J65"/>
    <mergeCell ref="E66:F66"/>
    <mergeCell ref="G66:J66"/>
    <mergeCell ref="E67:F67"/>
    <mergeCell ref="G67:J67"/>
    <mergeCell ref="E62:F62"/>
    <mergeCell ref="G62:J62"/>
    <mergeCell ref="E63:F63"/>
    <mergeCell ref="G63:J63"/>
    <mergeCell ref="E64:F64"/>
    <mergeCell ref="G64:J64"/>
    <mergeCell ref="C60:D60"/>
    <mergeCell ref="E60:F60"/>
    <mergeCell ref="G60:J60"/>
    <mergeCell ref="C61:D61"/>
    <mergeCell ref="E61:F61"/>
    <mergeCell ref="G61:J61"/>
    <mergeCell ref="C58:D58"/>
    <mergeCell ref="E58:F58"/>
    <mergeCell ref="G58:J58"/>
    <mergeCell ref="C59:D59"/>
    <mergeCell ref="E59:F59"/>
    <mergeCell ref="G59:J59"/>
    <mergeCell ref="E50:F50"/>
    <mergeCell ref="G50:J50"/>
    <mergeCell ref="C51:D51"/>
    <mergeCell ref="E51:F51"/>
    <mergeCell ref="G51:J51"/>
    <mergeCell ref="C56:D56"/>
    <mergeCell ref="E56:F56"/>
    <mergeCell ref="G56:J56"/>
    <mergeCell ref="C57:D57"/>
    <mergeCell ref="E57:F57"/>
    <mergeCell ref="G57:J57"/>
    <mergeCell ref="C54:D54"/>
    <mergeCell ref="E54:F54"/>
    <mergeCell ref="G54:J54"/>
    <mergeCell ref="C55:D55"/>
    <mergeCell ref="E55:F55"/>
    <mergeCell ref="G55:J55"/>
    <mergeCell ref="B46:B61"/>
    <mergeCell ref="C46:D46"/>
    <mergeCell ref="E46:F46"/>
    <mergeCell ref="G46:J46"/>
    <mergeCell ref="C47:D47"/>
    <mergeCell ref="E47:F47"/>
    <mergeCell ref="G47:J47"/>
    <mergeCell ref="C39:D39"/>
    <mergeCell ref="E39:F39"/>
    <mergeCell ref="C40:D40"/>
    <mergeCell ref="E40:F40"/>
    <mergeCell ref="C48:D48"/>
    <mergeCell ref="E48:F48"/>
    <mergeCell ref="G48:J48"/>
    <mergeCell ref="C49:D49"/>
    <mergeCell ref="E49:F49"/>
    <mergeCell ref="G49:J49"/>
    <mergeCell ref="C52:D52"/>
    <mergeCell ref="E52:F52"/>
    <mergeCell ref="G52:J52"/>
    <mergeCell ref="C53:D53"/>
    <mergeCell ref="E53:F53"/>
    <mergeCell ref="G53:J53"/>
    <mergeCell ref="C50:D50"/>
    <mergeCell ref="A29:A61"/>
    <mergeCell ref="B29:B45"/>
    <mergeCell ref="C29:D29"/>
    <mergeCell ref="E29:F29"/>
    <mergeCell ref="G29:J29"/>
    <mergeCell ref="C30:D30"/>
    <mergeCell ref="C33:D33"/>
    <mergeCell ref="E33:F33"/>
    <mergeCell ref="G33:J33"/>
    <mergeCell ref="C34:D34"/>
    <mergeCell ref="E34:F34"/>
    <mergeCell ref="G34:J34"/>
    <mergeCell ref="E30:F30"/>
    <mergeCell ref="G30:J30"/>
    <mergeCell ref="C31:D31"/>
    <mergeCell ref="E31:F31"/>
    <mergeCell ref="G31:J31"/>
    <mergeCell ref="C32:D32"/>
    <mergeCell ref="E32:F32"/>
    <mergeCell ref="G32:J32"/>
    <mergeCell ref="C37:D37"/>
    <mergeCell ref="E37:F37"/>
    <mergeCell ref="G37:J37"/>
    <mergeCell ref="C38:D38"/>
    <mergeCell ref="A6:J7"/>
    <mergeCell ref="A8:D28"/>
    <mergeCell ref="E8:J8"/>
    <mergeCell ref="E9:F9"/>
    <mergeCell ref="G9:J9"/>
    <mergeCell ref="E10:F10"/>
    <mergeCell ref="G10:J10"/>
    <mergeCell ref="F21:G21"/>
    <mergeCell ref="H21:J21"/>
    <mergeCell ref="F22:G22"/>
    <mergeCell ref="H22:J22"/>
    <mergeCell ref="F23:G23"/>
    <mergeCell ref="H23:J23"/>
    <mergeCell ref="F11:G11"/>
    <mergeCell ref="H11:J11"/>
    <mergeCell ref="F12:G12"/>
    <mergeCell ref="H12:J12"/>
    <mergeCell ref="F13:G13"/>
    <mergeCell ref="H13:J13"/>
    <mergeCell ref="F14:G14"/>
    <mergeCell ref="H14:J14"/>
    <mergeCell ref="F15:G15"/>
    <mergeCell ref="H15:J15"/>
    <mergeCell ref="F16:G16"/>
    <mergeCell ref="H1:I1"/>
    <mergeCell ref="J1:J4"/>
    <mergeCell ref="N1:N4"/>
    <mergeCell ref="H2:I2"/>
    <mergeCell ref="H3:I3"/>
    <mergeCell ref="H4:I4"/>
    <mergeCell ref="A5:J5"/>
    <mergeCell ref="A1:B4"/>
    <mergeCell ref="C1:G2"/>
    <mergeCell ref="C3:G4"/>
    <mergeCell ref="H16:J16"/>
    <mergeCell ref="F17:G17"/>
    <mergeCell ref="H17:J17"/>
    <mergeCell ref="F18:G18"/>
    <mergeCell ref="H18:J18"/>
    <mergeCell ref="F19:G19"/>
    <mergeCell ref="H19:J19"/>
    <mergeCell ref="F20:G20"/>
    <mergeCell ref="H20:J20"/>
    <mergeCell ref="C41:D41"/>
    <mergeCell ref="E41:F41"/>
    <mergeCell ref="E42:F42"/>
    <mergeCell ref="E43:F43"/>
    <mergeCell ref="E44:F44"/>
    <mergeCell ref="E45:F45"/>
    <mergeCell ref="F24:G24"/>
    <mergeCell ref="H24:J24"/>
    <mergeCell ref="F25:G25"/>
    <mergeCell ref="H25:J25"/>
    <mergeCell ref="F26:G26"/>
    <mergeCell ref="H26:J26"/>
    <mergeCell ref="F27:G27"/>
    <mergeCell ref="H27:J27"/>
    <mergeCell ref="F28:G28"/>
    <mergeCell ref="H28:J28"/>
    <mergeCell ref="E35:F35"/>
    <mergeCell ref="G35:J35"/>
    <mergeCell ref="E38:F38"/>
    <mergeCell ref="G38:J38"/>
    <mergeCell ref="C35:D35"/>
    <mergeCell ref="C36:D36"/>
    <mergeCell ref="E36:F36"/>
    <mergeCell ref="G36:J3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BS60"/>
  <sheetViews>
    <sheetView tabSelected="1" topLeftCell="Y5" zoomScale="77" zoomScaleNormal="77" workbookViewId="0">
      <selection activeCell="U15" sqref="U15"/>
    </sheetView>
  </sheetViews>
  <sheetFormatPr baseColWidth="10" defaultColWidth="11.44140625" defaultRowHeight="15.6" x14ac:dyDescent="0.3"/>
  <cols>
    <col min="1" max="1" width="4" style="2" bestFit="1" customWidth="1"/>
    <col min="2" max="2" width="14.109375" style="2" customWidth="1"/>
    <col min="3" max="3" width="13.109375" style="2" customWidth="1"/>
    <col min="4" max="4" width="16.109375" style="2" customWidth="1"/>
    <col min="5" max="5" width="30.33203125" style="2" customWidth="1"/>
    <col min="6" max="8" width="35" style="1" customWidth="1"/>
    <col min="9" max="9" width="18.109375" style="5" customWidth="1"/>
    <col min="10" max="10" width="14.33203125" style="1" customWidth="1"/>
    <col min="11" max="11" width="12" style="1" customWidth="1"/>
    <col min="12" max="12" width="6.33203125" style="1" bestFit="1" customWidth="1"/>
    <col min="13" max="13" width="24.44140625" style="1" bestFit="1" customWidth="1"/>
    <col min="14" max="14" width="28.33203125" style="1" hidden="1" customWidth="1"/>
    <col min="15" max="15" width="17.5546875" style="1" customWidth="1"/>
    <col min="16" max="16" width="6.33203125" style="1" bestFit="1" customWidth="1"/>
    <col min="17" max="17" width="16" style="1" customWidth="1"/>
    <col min="18" max="18" width="5.88671875" style="1" customWidth="1"/>
    <col min="19" max="19" width="55" style="229" customWidth="1"/>
    <col min="20" max="20" width="15.109375" style="1" bestFit="1" customWidth="1"/>
    <col min="21" max="21" width="6.88671875" style="1" customWidth="1"/>
    <col min="22" max="22" width="5" style="1" customWidth="1"/>
    <col min="23" max="23" width="5.5546875" style="1" customWidth="1"/>
    <col min="24" max="24" width="7.109375" style="1" customWidth="1"/>
    <col min="25" max="25" width="6.6640625" style="1" customWidth="1"/>
    <col min="26" max="26" width="4.6640625" style="1" bestFit="1" customWidth="1"/>
    <col min="27" max="27" width="38.5546875" style="1" bestFit="1" customWidth="1"/>
    <col min="28" max="28" width="8.6640625" style="1" customWidth="1"/>
    <col min="29" max="29" width="10.44140625" style="1" customWidth="1"/>
    <col min="30" max="30" width="9.33203125" style="1" customWidth="1"/>
    <col min="31" max="31" width="9.109375" style="1" customWidth="1"/>
    <col min="32" max="32" width="8.44140625" style="1" customWidth="1"/>
    <col min="33" max="33" width="7.33203125" style="1" customWidth="1"/>
    <col min="34" max="34" width="23" style="1" customWidth="1"/>
    <col min="35" max="35" width="18.88671875" style="1" customWidth="1"/>
    <col min="36" max="36" width="16.88671875" style="1" customWidth="1"/>
    <col min="37" max="37" width="14.88671875" style="1" customWidth="1"/>
    <col min="38" max="38" width="18.5546875" style="1" customWidth="1"/>
    <col min="39" max="39" width="21" style="1" customWidth="1"/>
    <col min="40" max="16384" width="11.44140625" style="1"/>
  </cols>
  <sheetData>
    <row r="1" spans="1:71" ht="16.5" customHeight="1" x14ac:dyDescent="0.25">
      <c r="A1" s="471" t="s">
        <v>139</v>
      </c>
      <c r="B1" s="472"/>
      <c r="C1" s="472"/>
      <c r="D1" s="472"/>
      <c r="E1" s="472"/>
      <c r="F1" s="472"/>
      <c r="G1" s="472"/>
      <c r="H1" s="472"/>
      <c r="I1" s="472"/>
      <c r="J1" s="472"/>
      <c r="K1" s="472"/>
      <c r="L1" s="472"/>
      <c r="M1" s="472"/>
      <c r="N1" s="472"/>
      <c r="O1" s="472"/>
      <c r="P1" s="472"/>
      <c r="Q1" s="472"/>
      <c r="R1" s="472"/>
      <c r="S1" s="472"/>
      <c r="T1" s="472"/>
      <c r="U1" s="472"/>
      <c r="V1" s="472"/>
      <c r="W1" s="472"/>
      <c r="X1" s="472"/>
      <c r="Y1" s="472"/>
      <c r="Z1" s="472"/>
      <c r="AA1" s="472"/>
      <c r="AB1" s="472"/>
      <c r="AC1" s="472"/>
      <c r="AD1" s="472"/>
      <c r="AE1" s="472"/>
      <c r="AF1" s="472"/>
      <c r="AG1" s="472"/>
      <c r="AH1" s="472"/>
      <c r="AI1" s="472"/>
      <c r="AJ1" s="472"/>
      <c r="AK1" s="472"/>
      <c r="AL1" s="472"/>
      <c r="AM1" s="473"/>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row>
    <row r="2" spans="1:71" ht="24" customHeight="1" x14ac:dyDescent="0.25">
      <c r="A2" s="474"/>
      <c r="B2" s="475"/>
      <c r="C2" s="475"/>
      <c r="D2" s="475"/>
      <c r="E2" s="475"/>
      <c r="F2" s="475"/>
      <c r="G2" s="475"/>
      <c r="H2" s="475"/>
      <c r="I2" s="475"/>
      <c r="J2" s="475"/>
      <c r="K2" s="475"/>
      <c r="L2" s="475"/>
      <c r="M2" s="475"/>
      <c r="N2" s="475"/>
      <c r="O2" s="475"/>
      <c r="P2" s="475"/>
      <c r="Q2" s="475"/>
      <c r="R2" s="475"/>
      <c r="S2" s="475"/>
      <c r="T2" s="475"/>
      <c r="U2" s="475"/>
      <c r="V2" s="475"/>
      <c r="W2" s="475"/>
      <c r="X2" s="475"/>
      <c r="Y2" s="475"/>
      <c r="Z2" s="475"/>
      <c r="AA2" s="475"/>
      <c r="AB2" s="475"/>
      <c r="AC2" s="475"/>
      <c r="AD2" s="475"/>
      <c r="AE2" s="475"/>
      <c r="AF2" s="475"/>
      <c r="AG2" s="475"/>
      <c r="AH2" s="475"/>
      <c r="AI2" s="475"/>
      <c r="AJ2" s="475"/>
      <c r="AK2" s="475"/>
      <c r="AL2" s="475"/>
      <c r="AM2" s="476"/>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row>
    <row r="3" spans="1:71" x14ac:dyDescent="0.3">
      <c r="A3" s="28"/>
      <c r="B3" s="29"/>
      <c r="C3" s="28"/>
      <c r="D3" s="28"/>
      <c r="E3" s="28"/>
      <c r="F3" s="8"/>
      <c r="G3" s="8"/>
      <c r="H3" s="8"/>
      <c r="I3" s="27"/>
      <c r="J3" s="8"/>
      <c r="K3" s="8"/>
      <c r="L3" s="8"/>
      <c r="M3" s="8"/>
      <c r="N3" s="8"/>
      <c r="O3" s="8"/>
      <c r="P3" s="8"/>
      <c r="Q3" s="8"/>
      <c r="R3" s="8"/>
      <c r="S3" s="227"/>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row>
    <row r="4" spans="1:71" ht="26.25" customHeight="1" x14ac:dyDescent="0.25">
      <c r="A4" s="446" t="s">
        <v>43</v>
      </c>
      <c r="B4" s="447"/>
      <c r="C4" s="456" t="s">
        <v>368</v>
      </c>
      <c r="D4" s="456"/>
      <c r="E4" s="456"/>
      <c r="F4" s="456"/>
      <c r="G4" s="456"/>
      <c r="H4" s="456"/>
      <c r="I4" s="456"/>
      <c r="J4" s="456"/>
      <c r="K4" s="456"/>
      <c r="L4" s="456"/>
      <c r="M4" s="456"/>
      <c r="N4" s="456"/>
      <c r="O4" s="456"/>
      <c r="P4" s="456"/>
      <c r="Q4" s="456"/>
      <c r="R4" s="456"/>
      <c r="S4" s="456"/>
      <c r="T4" s="456"/>
      <c r="U4" s="456"/>
      <c r="V4" s="456"/>
      <c r="W4" s="456"/>
      <c r="X4" s="456"/>
      <c r="Y4" s="456"/>
      <c r="Z4" s="456"/>
      <c r="AA4" s="456"/>
      <c r="AB4" s="456"/>
      <c r="AC4" s="456"/>
      <c r="AD4" s="456"/>
      <c r="AE4" s="456"/>
      <c r="AF4" s="456"/>
      <c r="AG4" s="456"/>
      <c r="AH4" s="456"/>
      <c r="AI4" s="456"/>
      <c r="AJ4" s="456"/>
      <c r="AK4" s="456"/>
      <c r="AL4" s="456"/>
      <c r="AM4" s="456"/>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row>
    <row r="5" spans="1:71" ht="30" customHeight="1" x14ac:dyDescent="0.25">
      <c r="A5" s="446" t="s">
        <v>125</v>
      </c>
      <c r="B5" s="447"/>
      <c r="C5" s="457" t="s">
        <v>369</v>
      </c>
      <c r="D5" s="457"/>
      <c r="E5" s="457"/>
      <c r="F5" s="457"/>
      <c r="G5" s="457"/>
      <c r="H5" s="457"/>
      <c r="I5" s="457"/>
      <c r="J5" s="457"/>
      <c r="K5" s="457"/>
      <c r="L5" s="457"/>
      <c r="M5" s="457"/>
      <c r="N5" s="457"/>
      <c r="O5" s="457"/>
      <c r="P5" s="457"/>
      <c r="Q5" s="457"/>
      <c r="R5" s="457"/>
      <c r="S5" s="457"/>
      <c r="T5" s="457"/>
      <c r="U5" s="457"/>
      <c r="V5" s="457"/>
      <c r="W5" s="457"/>
      <c r="X5" s="457"/>
      <c r="Y5" s="457"/>
      <c r="Z5" s="457"/>
      <c r="AA5" s="457"/>
      <c r="AB5" s="457"/>
      <c r="AC5" s="457"/>
      <c r="AD5" s="457"/>
      <c r="AE5" s="457"/>
      <c r="AF5" s="457"/>
      <c r="AG5" s="457"/>
      <c r="AH5" s="457"/>
      <c r="AI5" s="457"/>
      <c r="AJ5" s="457"/>
      <c r="AK5" s="457"/>
      <c r="AL5" s="457"/>
      <c r="AM5" s="457"/>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row>
    <row r="6" spans="1:71" ht="49.5" customHeight="1" x14ac:dyDescent="0.25">
      <c r="A6" s="446" t="s">
        <v>44</v>
      </c>
      <c r="B6" s="447"/>
      <c r="C6" s="457" t="s">
        <v>370</v>
      </c>
      <c r="D6" s="457"/>
      <c r="E6" s="457"/>
      <c r="F6" s="457"/>
      <c r="G6" s="457"/>
      <c r="H6" s="457"/>
      <c r="I6" s="457"/>
      <c r="J6" s="457"/>
      <c r="K6" s="457"/>
      <c r="L6" s="457"/>
      <c r="M6" s="457"/>
      <c r="N6" s="457"/>
      <c r="O6" s="457"/>
      <c r="P6" s="457"/>
      <c r="Q6" s="457"/>
      <c r="R6" s="457"/>
      <c r="S6" s="457"/>
      <c r="T6" s="457"/>
      <c r="U6" s="457"/>
      <c r="V6" s="457"/>
      <c r="W6" s="457"/>
      <c r="X6" s="457"/>
      <c r="Y6" s="457"/>
      <c r="Z6" s="457"/>
      <c r="AA6" s="457"/>
      <c r="AB6" s="457"/>
      <c r="AC6" s="457"/>
      <c r="AD6" s="457"/>
      <c r="AE6" s="457"/>
      <c r="AF6" s="457"/>
      <c r="AG6" s="457"/>
      <c r="AH6" s="457"/>
      <c r="AI6" s="457"/>
      <c r="AJ6" s="457"/>
      <c r="AK6" s="457"/>
      <c r="AL6" s="457"/>
      <c r="AM6" s="457"/>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row>
    <row r="7" spans="1:71" ht="13.8" x14ac:dyDescent="0.25">
      <c r="A7" s="477" t="s">
        <v>134</v>
      </c>
      <c r="B7" s="478"/>
      <c r="C7" s="479"/>
      <c r="D7" s="479"/>
      <c r="E7" s="479"/>
      <c r="F7" s="479"/>
      <c r="G7" s="479"/>
      <c r="H7" s="479"/>
      <c r="I7" s="479"/>
      <c r="J7" s="480"/>
      <c r="K7" s="442" t="s">
        <v>135</v>
      </c>
      <c r="L7" s="479"/>
      <c r="M7" s="479"/>
      <c r="N7" s="479"/>
      <c r="O7" s="479"/>
      <c r="P7" s="479"/>
      <c r="Q7" s="480"/>
      <c r="R7" s="442" t="s">
        <v>136</v>
      </c>
      <c r="S7" s="479"/>
      <c r="T7" s="479"/>
      <c r="U7" s="479"/>
      <c r="V7" s="479"/>
      <c r="W7" s="479"/>
      <c r="X7" s="479"/>
      <c r="Y7" s="479"/>
      <c r="Z7" s="480"/>
      <c r="AA7" s="442" t="s">
        <v>137</v>
      </c>
      <c r="AB7" s="479"/>
      <c r="AC7" s="479"/>
      <c r="AD7" s="479"/>
      <c r="AE7" s="479"/>
      <c r="AF7" s="479"/>
      <c r="AG7" s="480"/>
      <c r="AH7" s="442" t="s">
        <v>34</v>
      </c>
      <c r="AI7" s="479"/>
      <c r="AJ7" s="479"/>
      <c r="AK7" s="479"/>
      <c r="AL7" s="479"/>
      <c r="AM7" s="480"/>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row>
    <row r="8" spans="1:71" ht="16.5" customHeight="1" x14ac:dyDescent="0.25">
      <c r="A8" s="448" t="s">
        <v>0</v>
      </c>
      <c r="B8" s="458" t="s">
        <v>2</v>
      </c>
      <c r="C8" s="439" t="s">
        <v>3</v>
      </c>
      <c r="D8" s="439" t="s">
        <v>42</v>
      </c>
      <c r="E8" s="425" t="s">
        <v>203</v>
      </c>
      <c r="F8" s="450" t="s">
        <v>1</v>
      </c>
      <c r="G8" s="136"/>
      <c r="H8" s="136"/>
      <c r="I8" s="425" t="s">
        <v>50</v>
      </c>
      <c r="J8" s="439" t="s">
        <v>130</v>
      </c>
      <c r="K8" s="426" t="s">
        <v>33</v>
      </c>
      <c r="L8" s="441" t="s">
        <v>5</v>
      </c>
      <c r="M8" s="425" t="s">
        <v>86</v>
      </c>
      <c r="N8" s="425" t="s">
        <v>91</v>
      </c>
      <c r="O8" s="443" t="s">
        <v>45</v>
      </c>
      <c r="P8" s="441" t="s">
        <v>5</v>
      </c>
      <c r="Q8" s="439" t="s">
        <v>48</v>
      </c>
      <c r="R8" s="452" t="s">
        <v>11</v>
      </c>
      <c r="S8" s="455" t="s">
        <v>152</v>
      </c>
      <c r="T8" s="425" t="s">
        <v>12</v>
      </c>
      <c r="U8" s="440" t="s">
        <v>8</v>
      </c>
      <c r="V8" s="440"/>
      <c r="W8" s="440"/>
      <c r="X8" s="440"/>
      <c r="Y8" s="440"/>
      <c r="Z8" s="440"/>
      <c r="AA8" s="454" t="s">
        <v>133</v>
      </c>
      <c r="AB8" s="454" t="s">
        <v>46</v>
      </c>
      <c r="AC8" s="454" t="s">
        <v>5</v>
      </c>
      <c r="AD8" s="454" t="s">
        <v>47</v>
      </c>
      <c r="AE8" s="454" t="s">
        <v>5</v>
      </c>
      <c r="AF8" s="454" t="s">
        <v>49</v>
      </c>
      <c r="AG8" s="452" t="s">
        <v>29</v>
      </c>
      <c r="AH8" s="440" t="s">
        <v>34</v>
      </c>
      <c r="AI8" s="440" t="s">
        <v>35</v>
      </c>
      <c r="AJ8" s="440" t="s">
        <v>36</v>
      </c>
      <c r="AK8" s="440" t="s">
        <v>38</v>
      </c>
      <c r="AL8" s="440" t="s">
        <v>37</v>
      </c>
      <c r="AM8" s="440" t="s">
        <v>39</v>
      </c>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row>
    <row r="9" spans="1:71" s="4" customFormat="1" ht="83.25" customHeight="1" x14ac:dyDescent="0.3">
      <c r="A9" s="449"/>
      <c r="B9" s="458"/>
      <c r="C9" s="440"/>
      <c r="D9" s="440"/>
      <c r="E9" s="426"/>
      <c r="F9" s="451"/>
      <c r="G9" s="136" t="s">
        <v>257</v>
      </c>
      <c r="H9" s="136" t="s">
        <v>204</v>
      </c>
      <c r="I9" s="439"/>
      <c r="J9" s="440"/>
      <c r="K9" s="439"/>
      <c r="L9" s="442"/>
      <c r="M9" s="439"/>
      <c r="N9" s="439"/>
      <c r="O9" s="442"/>
      <c r="P9" s="442"/>
      <c r="Q9" s="440"/>
      <c r="R9" s="453"/>
      <c r="S9" s="455"/>
      <c r="T9" s="439"/>
      <c r="U9" s="7" t="s">
        <v>13</v>
      </c>
      <c r="V9" s="7" t="s">
        <v>17</v>
      </c>
      <c r="W9" s="7" t="s">
        <v>28</v>
      </c>
      <c r="X9" s="7" t="s">
        <v>18</v>
      </c>
      <c r="Y9" s="7" t="s">
        <v>21</v>
      </c>
      <c r="Z9" s="7" t="s">
        <v>24</v>
      </c>
      <c r="AA9" s="454"/>
      <c r="AB9" s="454"/>
      <c r="AC9" s="454"/>
      <c r="AD9" s="454"/>
      <c r="AE9" s="454"/>
      <c r="AF9" s="454"/>
      <c r="AG9" s="453"/>
      <c r="AH9" s="440"/>
      <c r="AI9" s="440"/>
      <c r="AJ9" s="440"/>
      <c r="AK9" s="440"/>
      <c r="AL9" s="440"/>
      <c r="AM9" s="440"/>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row>
    <row r="10" spans="1:71" s="3" customFormat="1" ht="221.25" customHeight="1" x14ac:dyDescent="0.3">
      <c r="A10" s="395">
        <v>1</v>
      </c>
      <c r="B10" s="397" t="s">
        <v>129</v>
      </c>
      <c r="C10" s="397" t="s">
        <v>377</v>
      </c>
      <c r="D10" s="399" t="s">
        <v>372</v>
      </c>
      <c r="E10" s="223" t="s">
        <v>373</v>
      </c>
      <c r="F10" s="401" t="s">
        <v>378</v>
      </c>
      <c r="G10" s="386" t="s">
        <v>379</v>
      </c>
      <c r="H10" s="401" t="s">
        <v>380</v>
      </c>
      <c r="I10" s="389" t="s">
        <v>118</v>
      </c>
      <c r="J10" s="391">
        <v>245</v>
      </c>
      <c r="K10" s="393" t="str">
        <f>IF(J10&lt;=0,"",IF(J10&lt;=2,"Muy Baja",IF(J10&lt;=24,"Baja",IF(J10&lt;=500,"Media",IF(J10&lt;=5000,"Alta","Muy Alta")))))</f>
        <v>Media</v>
      </c>
      <c r="L10" s="435">
        <f>IF(K10="","",IF(K10="Muy Baja",0.2,IF(K10="Baja",0.4,IF(K10="Media",0.6,IF(K10="Alta",0.8,IF(K10="Muy Alta",1,))))))</f>
        <v>0.6</v>
      </c>
      <c r="M10" s="437" t="s">
        <v>146</v>
      </c>
      <c r="N10" s="435" t="str">
        <f>IF(NOT(ISERROR(MATCH(M10,'Tabla Impacto'!$B$221:$B$223,0))),'Tabla Impacto'!$F$223&amp;"Por favor no seleccionar los criterios de impacto(Afectación Económica o presupuestal y Pérdida Reputacional)",M10)</f>
        <v xml:space="preserve">     El riesgo afecta la imagen de de la entidad con efecto publicitario sostenido a nivel de sector administrativo, nivel departamental o municipal</v>
      </c>
      <c r="O10" s="393" t="str">
        <f>IF(OR(N10='Tabla Impacto'!$C$11,N10='Tabla Impacto'!$D$11),"Leve",IF(OR(N10='Tabla Impacto'!$C$12,N10='Tabla Impacto'!$D$12),"Menor",IF(OR(N10='Tabla Impacto'!$C$13,N10='Tabla Impacto'!$D$13),"Moderado",IF(OR(N10='Tabla Impacto'!$C$14,N10='Tabla Impacto'!$D$14),"Mayor",IF(OR(N10='Tabla Impacto'!$C$15,N10='Tabla Impacto'!$D$15),"Catastrófico","")))))</f>
        <v>Mayor</v>
      </c>
      <c r="P10" s="435">
        <f>IF(O10="","",IF(O10="Leve",0.2,IF(O10="Menor",0.4,IF(O10="Moderado",0.6,IF(O10="Mayor",0.8,IF(O10="Catastrófico",1,))))))</f>
        <v>0.8</v>
      </c>
      <c r="Q10" s="433" t="str">
        <f>IF(OR(AND(K10="Muy Baja",O10="Leve"),AND(K10="Muy Baja",O10="Menor"),AND(K10="Baja",O10="Leve")),"Bajo",IF(OR(AND(K10="Muy baja",O10="Moderado"),AND(K10="Baja",O10="Menor"),AND(K10="Baja",O10="Moderado"),AND(K10="Media",O10="Leve"),AND(K10="Media",O10="Menor"),AND(K10="Media",O10="Moderado"),AND(K10="Alta",O10="Leve"),AND(K10="Alta",O10="Menor")),"Moderado",IF(OR(AND(K10="Muy Baja",O10="Mayor"),AND(K10="Baja",O10="Mayor"),AND(K10="Media",O10="Mayor"),AND(K10="Alta",O10="Moderado"),AND(K10="Alta",O10="Mayor"),AND(K10="Muy Alta",O10="Leve"),AND(K10="Muy Alta",O10="Menor"),AND(K10="Muy Alta",O10="Moderado"),AND(K10="Muy Alta",O10="Mayor")),"Alto",IF(OR(AND(K10="Muy Baja",O10="Catastrófico"),AND(K10="Baja",O10="Catastrófico"),AND(K10="Media",O10="Catastrófico"),AND(K10="Alta",O10="Catastrófico"),AND(K10="Muy Alta",O10="Catastrófico")),"Extremo",""))))</f>
        <v>Alto</v>
      </c>
      <c r="R10" s="105">
        <v>1</v>
      </c>
      <c r="S10" s="226" t="s">
        <v>395</v>
      </c>
      <c r="T10" s="235" t="str">
        <f>IF(OR(U10="Preventivo",U10="Detectivo"),"Probabilidad",IF(U10="Correctivo","Impacto",""))</f>
        <v>Probabilidad</v>
      </c>
      <c r="U10" s="233" t="s">
        <v>14</v>
      </c>
      <c r="V10" s="233" t="s">
        <v>9</v>
      </c>
      <c r="W10" s="234" t="str">
        <f>IF(AND(U10="Preventivo",V10="Automático"),"50%",IF(AND(U10="Preventivo",V10="Manual"),"40%",IF(AND(U10="Detectivo",V10="Automático"),"40%",IF(AND(U10="Detectivo",V10="Manual"),"30%",IF(AND(U10="Correctivo",V10="Automático"),"35%",IF(AND(U10="Correctivo",V10="Manual"),"25%",""))))))</f>
        <v>40%</v>
      </c>
      <c r="X10" s="233" t="s">
        <v>19</v>
      </c>
      <c r="Y10" s="233" t="s">
        <v>22</v>
      </c>
      <c r="Z10" s="233" t="s">
        <v>114</v>
      </c>
      <c r="AA10" s="107">
        <f>IFERROR(IF(T10="Probabilidad",(L10-(+L10*W10)),IF(T10="Impacto",L10,"")),"")</f>
        <v>0.36</v>
      </c>
      <c r="AB10" s="116" t="str">
        <f>IFERROR(IF(AA10="","",IF(AA10&lt;=0.2,"Muy Baja",IF(AA10&lt;=0.4,"Baja",IF(AA10&lt;=0.6,"Media",IF(AA10&lt;=0.8,"Alta","Muy Alta"))))),"")</f>
        <v>Baja</v>
      </c>
      <c r="AC10" s="117">
        <f t="shared" ref="AC10:AC17" si="0">+AA10</f>
        <v>0.36</v>
      </c>
      <c r="AD10" s="116" t="str">
        <f>IFERROR(IF(AE10="","",IF(AE10&lt;=0.2,"Leve",IF(AE10&lt;=0.4,"Menor",IF(AE10&lt;=0.6,"Moderado",IF(AE10&lt;=0.8,"Mayor","Catastrófico"))))),"")</f>
        <v>Mayor</v>
      </c>
      <c r="AE10" s="117">
        <f>IFERROR(IF(T10="Impacto",(P10-(+P10*W10)),IF(T10="Probabilidad",P10,"")),"")</f>
        <v>0.8</v>
      </c>
      <c r="AF10" s="118" t="str">
        <f>IFERROR(IF(OR(AND(AB10="Muy Baja",AD10="Leve"),AND(AB10="Muy Baja",AD10="Menor"),AND(AB10="Baja",AD10="Leve")),"Bajo",IF(OR(AND(AB10="Muy baja",AD10="Moderado"),AND(AB10="Baja",AD10="Menor"),AND(AB10="Baja",AD10="Moderado"),AND(AB10="Media",AD10="Leve"),AND(AB10="Media",AD10="Menor"),AND(AB10="Media",AD10="Moderado"),AND(AB10="Alta",AD10="Leve"),AND(AB10="Alta",AD10="Menor")),"Moderado",IF(OR(AND(AB10="Muy Baja",AD10="Mayor"),AND(AB10="Baja",AD10="Mayor"),AND(AB10="Media",AD10="Mayor"),AND(AB10="Alta",AD10="Moderado"),AND(AB10="Alta",AD10="Mayor"),AND(AB10="Muy Alta",AD10="Leve"),AND(AB10="Muy Alta",AD10="Menor"),AND(AB10="Muy Alta",AD10="Moderado"),AND(AB10="Muy Alta",AD10="Mayor")),"Alto",IF(OR(AND(AB10="Muy Baja",AD10="Catastrófico"),AND(AB10="Baja",AD10="Catastrófico"),AND(AB10="Media",AD10="Catastrófico"),AND(AB10="Alta",AD10="Catastrófico"),AND(AB10="Muy Alta",AD10="Catastrófico")),"Extremo","")))),"")</f>
        <v>Alto</v>
      </c>
      <c r="AG10" s="236" t="s">
        <v>131</v>
      </c>
      <c r="AH10" s="113" t="s">
        <v>391</v>
      </c>
      <c r="AI10" s="113" t="s">
        <v>393</v>
      </c>
      <c r="AJ10" s="115">
        <v>45778</v>
      </c>
      <c r="AK10" s="115">
        <v>45870</v>
      </c>
      <c r="AL10" s="113" t="s">
        <v>394</v>
      </c>
      <c r="AM10" s="114" t="s">
        <v>41</v>
      </c>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row>
    <row r="11" spans="1:71" ht="238.5" customHeight="1" x14ac:dyDescent="0.25">
      <c r="A11" s="396"/>
      <c r="B11" s="398"/>
      <c r="C11" s="398"/>
      <c r="D11" s="400"/>
      <c r="E11" s="223" t="s">
        <v>374</v>
      </c>
      <c r="F11" s="401"/>
      <c r="G11" s="387"/>
      <c r="H11" s="401"/>
      <c r="I11" s="390"/>
      <c r="J11" s="392"/>
      <c r="K11" s="394"/>
      <c r="L11" s="436"/>
      <c r="M11" s="438"/>
      <c r="N11" s="436">
        <f>IF(NOT(ISERROR(MATCH(M11,_xlfn.ANCHORARRAY(F14),0))),#REF!&amp;"Por favor no seleccionar los criterios de impacto",M11)</f>
        <v>0</v>
      </c>
      <c r="O11" s="394"/>
      <c r="P11" s="436"/>
      <c r="Q11" s="434"/>
      <c r="R11" s="105">
        <v>2</v>
      </c>
      <c r="S11" s="226" t="s">
        <v>396</v>
      </c>
      <c r="T11" s="106" t="str">
        <f t="shared" ref="T11:T17" si="1">IF(OR(U11="Preventivo",U11="Detectivo"),"Probabilidad",IF(U11="Correctivo","Impacto",""))</f>
        <v>Probabilidad</v>
      </c>
      <c r="U11" s="111" t="s">
        <v>14</v>
      </c>
      <c r="V11" s="111" t="s">
        <v>9</v>
      </c>
      <c r="W11" s="112" t="str">
        <f t="shared" ref="W11" si="2">IF(AND(U11="Preventivo",V11="Automático"),"50%",IF(AND(U11="Preventivo",V11="Manual"),"40%",IF(AND(U11="Detectivo",V11="Automático"),"40%",IF(AND(U11="Detectivo",V11="Manual"),"30%",IF(AND(U11="Correctivo",V11="Automático"),"35%",IF(AND(U11="Correctivo",V11="Manual"),"25%",""))))))</f>
        <v>40%</v>
      </c>
      <c r="X11" s="111" t="s">
        <v>19</v>
      </c>
      <c r="Y11" s="111" t="s">
        <v>23</v>
      </c>
      <c r="Z11" s="111" t="s">
        <v>114</v>
      </c>
      <c r="AA11" s="107">
        <f>IFERROR(IF(AND(T10="Probabilidad",T11="Probabilidad"),(AC10-(+AC10*W11)),IF(AND(T10="Impacto",T11="Probabilidad"),(L10-(+L10*W11)),IF(T11="Impacto",AC10,""))),"")</f>
        <v>0.216</v>
      </c>
      <c r="AB11" s="116" t="str">
        <f t="shared" ref="AB11" si="3">IFERROR(IF(AA11="","",IF(AA11&lt;=0.2,"Muy Baja",IF(AA11&lt;=0.4,"Baja",IF(AA11&lt;=0.6,"Media",IF(AA11&lt;=0.8,"Alta","Muy Alta"))))),"")</f>
        <v>Baja</v>
      </c>
      <c r="AC11" s="117">
        <f t="shared" si="0"/>
        <v>0.216</v>
      </c>
      <c r="AD11" s="116" t="str">
        <f t="shared" ref="AD11" si="4">IFERROR(IF(AE11="","",IF(AE11&lt;=0.2,"Leve",IF(AE11&lt;=0.4,"Menor",IF(AE11&lt;=0.6,"Moderado",IF(AE11&lt;=0.8,"Mayor","Catastrófico"))))),"")</f>
        <v>Mayor</v>
      </c>
      <c r="AE11" s="117">
        <f>IFERROR(IF(AND(T10="Impacto",T11="Impacto"),(AE10-(+AE10*W11)),IF(AND(T10="Probabilidad",T11="Impacto"),(P10-(+P10*W11)),IF(T11="Probabilidad",AE10,""))),"")</f>
        <v>0.8</v>
      </c>
      <c r="AF11" s="118" t="str">
        <f t="shared" ref="AF11" si="5">IFERROR(IF(OR(AND(AB11="Muy Baja",AD11="Leve"),AND(AB11="Muy Baja",AD11="Menor"),AND(AB11="Baja",AD11="Leve")),"Bajo",IF(OR(AND(AB11="Muy baja",AD11="Moderado"),AND(AB11="Baja",AD11="Menor"),AND(AB11="Baja",AD11="Moderado"),AND(AB11="Media",AD11="Leve"),AND(AB11="Media",AD11="Menor"),AND(AB11="Media",AD11="Moderado"),AND(AB11="Alta",AD11="Leve"),AND(AB11="Alta",AD11="Menor")),"Moderado",IF(OR(AND(AB11="Muy Baja",AD11="Mayor"),AND(AB11="Baja",AD11="Mayor"),AND(AB11="Media",AD11="Mayor"),AND(AB11="Alta",AD11="Moderado"),AND(AB11="Alta",AD11="Mayor"),AND(AB11="Muy Alta",AD11="Leve"),AND(AB11="Muy Alta",AD11="Menor"),AND(AB11="Muy Alta",AD11="Moderado"),AND(AB11="Muy Alta",AD11="Mayor")),"Alto",IF(OR(AND(AB11="Muy Baja",AD11="Catastrófico"),AND(AB11="Baja",AD11="Catastrófico"),AND(AB11="Media",AD11="Catastrófico"),AND(AB11="Alta",AD11="Catastrófico"),AND(AB11="Muy Alta",AD11="Catastrófico")),"Extremo","")))),"")</f>
        <v>Alto</v>
      </c>
      <c r="AG11" s="119" t="s">
        <v>31</v>
      </c>
      <c r="AH11" s="113" t="s">
        <v>397</v>
      </c>
      <c r="AI11" s="113" t="s">
        <v>398</v>
      </c>
      <c r="AJ11" s="115">
        <v>45778</v>
      </c>
      <c r="AK11" s="115">
        <v>45870</v>
      </c>
      <c r="AL11" s="113" t="s">
        <v>394</v>
      </c>
      <c r="AM11" s="114" t="s">
        <v>41</v>
      </c>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row>
    <row r="12" spans="1:71" ht="166.5" customHeight="1" x14ac:dyDescent="0.25">
      <c r="A12" s="395">
        <v>2</v>
      </c>
      <c r="B12" s="416" t="s">
        <v>129</v>
      </c>
      <c r="C12" s="416" t="s">
        <v>371</v>
      </c>
      <c r="D12" s="427" t="s">
        <v>375</v>
      </c>
      <c r="E12" s="137" t="s">
        <v>293</v>
      </c>
      <c r="F12" s="406" t="s">
        <v>386</v>
      </c>
      <c r="G12" s="444" t="s">
        <v>379</v>
      </c>
      <c r="H12" s="421" t="s">
        <v>382</v>
      </c>
      <c r="I12" s="459" t="s">
        <v>118</v>
      </c>
      <c r="J12" s="409">
        <v>245</v>
      </c>
      <c r="K12" s="411" t="str">
        <f>IF(J12&lt;=0,"",IF(J12&lt;=2,"Muy Baja",IF(J12&lt;=24,"Baja",IF(J12&lt;=500,"Media",IF(J12&lt;=5000,"Alta","Muy Alta")))))</f>
        <v>Media</v>
      </c>
      <c r="L12" s="429">
        <f>IF(K12="","",IF(K12="Muy Baja",0.2,IF(K12="Baja",0.4,IF(K12="Media",0.6,IF(K12="Alta",0.8,IF(K12="Muy Alta",1,))))))</f>
        <v>0.6</v>
      </c>
      <c r="M12" s="461" t="s">
        <v>146</v>
      </c>
      <c r="N12" s="429" t="str">
        <f>IF(NOT(ISERROR(MATCH(M12,'Tabla Impacto'!$B$221:$B$223,0))),'Tabla Impacto'!$F$223&amp;"Por favor no seleccionar los criterios de impacto(Afectación Económica o presupuestal y Pérdida Reputacional)",M12)</f>
        <v xml:space="preserve">     El riesgo afecta la imagen de de la entidad con efecto publicitario sostenido a nivel de sector administrativo, nivel departamental o municipal</v>
      </c>
      <c r="O12" s="411" t="str">
        <f>IF(OR(N12='Tabla Impacto'!$C$11,N12='Tabla Impacto'!$D$11),"Leve",IF(OR(N12='Tabla Impacto'!$C$12,N12='Tabla Impacto'!$D$12),"Menor",IF(OR(N12='Tabla Impacto'!$C$13,N12='Tabla Impacto'!$D$13),"Moderado",IF(OR(N12='Tabla Impacto'!$C$14,N12='Tabla Impacto'!$D$14),"Mayor",IF(OR(N12='Tabla Impacto'!$C$15,N12='Tabla Impacto'!$D$15),"Catastrófico","")))))</f>
        <v>Mayor</v>
      </c>
      <c r="P12" s="429">
        <f>IF(O12="","",IF(O12="Leve",0.2,IF(O12="Menor",0.4,IF(O12="Moderado",0.6,IF(O12="Mayor",0.8,IF(O12="Catastrófico",1,))))))</f>
        <v>0.8</v>
      </c>
      <c r="Q12" s="431" t="str">
        <f>IF(OR(AND(K12="Muy Baja",O12="Leve"),AND(K12="Muy Baja",O12="Menor"),AND(K12="Baja",O12="Leve")),"Bajo",IF(OR(AND(K12="Muy baja",O12="Moderado"),AND(K12="Baja",O12="Menor"),AND(K12="Baja",O12="Moderado"),AND(K12="Media",O12="Leve"),AND(K12="Media",O12="Menor"),AND(K12="Media",O12="Moderado"),AND(K12="Alta",O12="Leve"),AND(K12="Alta",O12="Menor")),"Moderado",IF(OR(AND(K12="Muy Baja",O12="Mayor"),AND(K12="Baja",O12="Mayor"),AND(K12="Media",O12="Mayor"),AND(K12="Alta",O12="Moderado"),AND(K12="Alta",O12="Mayor"),AND(K12="Muy Alta",O12="Leve"),AND(K12="Muy Alta",O12="Menor"),AND(K12="Muy Alta",O12="Moderado"),AND(K12="Muy Alta",O12="Mayor")),"Alto",IF(OR(AND(K12="Muy Baja",O12="Catastrófico"),AND(K12="Baja",O12="Catastrófico"),AND(K12="Media",O12="Catastrófico"),AND(K12="Alta",O12="Catastrófico"),AND(K12="Muy Alta",O12="Catastrófico")),"Extremo",""))))</f>
        <v>Alto</v>
      </c>
      <c r="R12" s="105">
        <v>1</v>
      </c>
      <c r="S12" s="224" t="s">
        <v>399</v>
      </c>
      <c r="T12" s="106" t="str">
        <f t="shared" si="1"/>
        <v>Probabilidad</v>
      </c>
      <c r="U12" s="111" t="s">
        <v>14</v>
      </c>
      <c r="V12" s="111" t="s">
        <v>9</v>
      </c>
      <c r="W12" s="112" t="str">
        <f>IF(AND(U12="Preventivo",V12="Automático"),"50%",IF(AND(U12="Preventivo",V12="Manual"),"40%",IF(AND(U12="Detectivo",V12="Automático"),"40%",IF(AND(U12="Detectivo",V12="Manual"),"30%",IF(AND(U12="Correctivo",V12="Automático"),"35%",IF(AND(U12="Correctivo",V12="Manual"),"25%",""))))))</f>
        <v>40%</v>
      </c>
      <c r="X12" s="111" t="s">
        <v>19</v>
      </c>
      <c r="Y12" s="111" t="s">
        <v>22</v>
      </c>
      <c r="Z12" s="111" t="s">
        <v>114</v>
      </c>
      <c r="AA12" s="107">
        <f>IFERROR(IF(T12="Probabilidad",(L12-(+L12*W12)),IF(T12="Impacto",L12,"")),"")</f>
        <v>0.36</v>
      </c>
      <c r="AB12" s="116" t="str">
        <f>IFERROR(IF(AA12="","",IF(AA12&lt;=0.2,"Muy Baja",IF(AA12&lt;=0.4,"Baja",IF(AA12&lt;=0.6,"Media",IF(AA12&lt;=0.8,"Alta","Muy Alta"))))),"")</f>
        <v>Baja</v>
      </c>
      <c r="AC12" s="117">
        <f t="shared" si="0"/>
        <v>0.36</v>
      </c>
      <c r="AD12" s="116" t="str">
        <f>IFERROR(IF(AE12="","",IF(AE12&lt;=0.2,"Leve",IF(AE12&lt;=0.4,"Menor",IF(AE12&lt;=0.6,"Moderado",IF(AE12&lt;=0.8,"Mayor","Catastrófico"))))),"")</f>
        <v>Mayor</v>
      </c>
      <c r="AE12" s="117">
        <f>IFERROR(IF(T12="Impacto",(P12-(+P12*W12)),IF(T12="Probabilidad",P12,"")),"")</f>
        <v>0.8</v>
      </c>
      <c r="AF12" s="118" t="str">
        <f>IFERROR(IF(OR(AND(AB12="Muy Baja",AD12="Leve"),AND(AB12="Muy Baja",AD12="Menor"),AND(AB12="Baja",AD12="Leve")),"Bajo",IF(OR(AND(AB12="Muy baja",AD12="Moderado"),AND(AB12="Baja",AD12="Menor"),AND(AB12="Baja",AD12="Moderado"),AND(AB12="Media",AD12="Leve"),AND(AB12="Media",AD12="Menor"),AND(AB12="Media",AD12="Moderado"),AND(AB12="Alta",AD12="Leve"),AND(AB12="Alta",AD12="Menor")),"Moderado",IF(OR(AND(AB12="Muy Baja",AD12="Mayor"),AND(AB12="Baja",AD12="Mayor"),AND(AB12="Media",AD12="Mayor"),AND(AB12="Alta",AD12="Moderado"),AND(AB12="Alta",AD12="Mayor"),AND(AB12="Muy Alta",AD12="Leve"),AND(AB12="Muy Alta",AD12="Menor"),AND(AB12="Muy Alta",AD12="Moderado"),AND(AB12="Muy Alta",AD12="Mayor")),"Alto",IF(OR(AND(AB12="Muy Baja",AD12="Catastrófico"),AND(AB12="Baja",AD12="Catastrófico"),AND(AB12="Media",AD12="Catastrófico"),AND(AB12="Alta",AD12="Catastrófico"),AND(AB12="Muy Alta",AD12="Catastrófico")),"Extremo","")))),"")</f>
        <v>Alto</v>
      </c>
      <c r="AG12" s="119" t="s">
        <v>31</v>
      </c>
      <c r="AH12" s="113" t="s">
        <v>400</v>
      </c>
      <c r="AI12" s="113" t="s">
        <v>393</v>
      </c>
      <c r="AJ12" s="115">
        <v>45778</v>
      </c>
      <c r="AK12" s="115">
        <v>45870</v>
      </c>
      <c r="AL12" s="113" t="s">
        <v>394</v>
      </c>
      <c r="AM12" s="114" t="s">
        <v>41</v>
      </c>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row>
    <row r="13" spans="1:71" ht="140.25" customHeight="1" x14ac:dyDescent="0.25">
      <c r="A13" s="396"/>
      <c r="B13" s="417"/>
      <c r="C13" s="417"/>
      <c r="D13" s="428"/>
      <c r="E13" s="137" t="s">
        <v>376</v>
      </c>
      <c r="F13" s="406"/>
      <c r="G13" s="445"/>
      <c r="H13" s="422"/>
      <c r="I13" s="460"/>
      <c r="J13" s="410"/>
      <c r="K13" s="412"/>
      <c r="L13" s="430"/>
      <c r="M13" s="462"/>
      <c r="N13" s="430">
        <f>IF(NOT(ISERROR(MATCH(M13,_xlfn.ANCHORARRAY(F16),0))),L18&amp;"Por favor no seleccionar los criterios de impacto",M13)</f>
        <v>0</v>
      </c>
      <c r="O13" s="412"/>
      <c r="P13" s="430"/>
      <c r="Q13" s="432"/>
      <c r="R13" s="105">
        <v>2</v>
      </c>
      <c r="S13" s="225" t="s">
        <v>401</v>
      </c>
      <c r="T13" s="106" t="str">
        <f t="shared" si="1"/>
        <v>Probabilidad</v>
      </c>
      <c r="U13" s="111" t="s">
        <v>14</v>
      </c>
      <c r="V13" s="111" t="s">
        <v>9</v>
      </c>
      <c r="W13" s="112" t="str">
        <f t="shared" ref="W13" si="6">IF(AND(U13="Preventivo",V13="Automático"),"50%",IF(AND(U13="Preventivo",V13="Manual"),"40%",IF(AND(U13="Detectivo",V13="Automático"),"40%",IF(AND(U13="Detectivo",V13="Manual"),"30%",IF(AND(U13="Correctivo",V13="Automático"),"35%",IF(AND(U13="Correctivo",V13="Manual"),"25%",""))))))</f>
        <v>40%</v>
      </c>
      <c r="X13" s="111" t="s">
        <v>19</v>
      </c>
      <c r="Y13" s="111" t="s">
        <v>22</v>
      </c>
      <c r="Z13" s="111" t="s">
        <v>114</v>
      </c>
      <c r="AA13" s="107">
        <f>IFERROR(IF(AND(T12="Probabilidad",T13="Probabilidad"),(AC12-(+AC12*W13)),IF(AND(T12="Impacto",T13="Probabilidad"),(L12-(+L12*W13)),IF(T13="Impacto",AC12,""))),"")</f>
        <v>0.216</v>
      </c>
      <c r="AB13" s="116" t="str">
        <f t="shared" ref="AB13" si="7">IFERROR(IF(AA13="","",IF(AA13&lt;=0.2,"Muy Baja",IF(AA13&lt;=0.4,"Baja",IF(AA13&lt;=0.6,"Media",IF(AA13&lt;=0.8,"Alta","Muy Alta"))))),"")</f>
        <v>Baja</v>
      </c>
      <c r="AC13" s="117">
        <f t="shared" si="0"/>
        <v>0.216</v>
      </c>
      <c r="AD13" s="116" t="str">
        <f t="shared" ref="AD13" si="8">IFERROR(IF(AE13="","",IF(AE13&lt;=0.2,"Leve",IF(AE13&lt;=0.4,"Menor",IF(AE13&lt;=0.6,"Moderado",IF(AE13&lt;=0.8,"Mayor","Catastrófico"))))),"")</f>
        <v>Mayor</v>
      </c>
      <c r="AE13" s="117">
        <f>IFERROR(IF(AND(T12="Impacto",T13="Impacto"),(AE12-(+AE12*W13)),IF(AND(T12="Probabilidad",T13="Impacto"),(P12-(+P12*W13)),IF(T13="Probabilidad",AE12,""))),"")</f>
        <v>0.8</v>
      </c>
      <c r="AF13" s="118" t="str">
        <f t="shared" ref="AF13" si="9">IFERROR(IF(OR(AND(AB13="Muy Baja",AD13="Leve"),AND(AB13="Muy Baja",AD13="Menor"),AND(AB13="Baja",AD13="Leve")),"Bajo",IF(OR(AND(AB13="Muy baja",AD13="Moderado"),AND(AB13="Baja",AD13="Menor"),AND(AB13="Baja",AD13="Moderado"),AND(AB13="Media",AD13="Leve"),AND(AB13="Media",AD13="Menor"),AND(AB13="Media",AD13="Moderado"),AND(AB13="Alta",AD13="Leve"),AND(AB13="Alta",AD13="Menor")),"Moderado",IF(OR(AND(AB13="Muy Baja",AD13="Mayor"),AND(AB13="Baja",AD13="Mayor"),AND(AB13="Media",AD13="Mayor"),AND(AB13="Alta",AD13="Moderado"),AND(AB13="Alta",AD13="Mayor"),AND(AB13="Muy Alta",AD13="Leve"),AND(AB13="Muy Alta",AD13="Menor"),AND(AB13="Muy Alta",AD13="Moderado"),AND(AB13="Muy Alta",AD13="Mayor")),"Alto",IF(OR(AND(AB13="Muy Baja",AD13="Catastrófico"),AND(AB13="Baja",AD13="Catastrófico"),AND(AB13="Media",AD13="Catastrófico"),AND(AB13="Alta",AD13="Catastrófico"),AND(AB13="Muy Alta",AD13="Catastrófico")),"Extremo","")))),"")</f>
        <v>Alto</v>
      </c>
      <c r="AG13" s="119" t="s">
        <v>31</v>
      </c>
      <c r="AH13" s="113" t="s">
        <v>400</v>
      </c>
      <c r="AI13" s="113" t="s">
        <v>393</v>
      </c>
      <c r="AJ13" s="115">
        <v>45778</v>
      </c>
      <c r="AK13" s="115">
        <v>45870</v>
      </c>
      <c r="AL13" s="113" t="s">
        <v>394</v>
      </c>
      <c r="AM13" s="114" t="s">
        <v>41</v>
      </c>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row>
    <row r="14" spans="1:71" ht="184.5" customHeight="1" x14ac:dyDescent="0.25">
      <c r="A14" s="395">
        <v>3</v>
      </c>
      <c r="B14" s="402" t="s">
        <v>128</v>
      </c>
      <c r="C14" s="402" t="s">
        <v>371</v>
      </c>
      <c r="D14" s="404" t="s">
        <v>383</v>
      </c>
      <c r="E14" s="137" t="s">
        <v>384</v>
      </c>
      <c r="F14" s="406" t="s">
        <v>388</v>
      </c>
      <c r="G14" s="386" t="s">
        <v>381</v>
      </c>
      <c r="H14" s="423" t="s">
        <v>387</v>
      </c>
      <c r="I14" s="407" t="s">
        <v>118</v>
      </c>
      <c r="J14" s="409">
        <v>245</v>
      </c>
      <c r="K14" s="411" t="str">
        <f t="shared" ref="K14" si="10">IF(J14&lt;=0,"",IF(J14&lt;=2,"Muy Baja",IF(J14&lt;=24,"Baja",IF(J14&lt;=500,"Media",IF(J14&lt;=5000,"Alta","Muy Alta")))))</f>
        <v>Media</v>
      </c>
      <c r="L14" s="429">
        <f t="shared" ref="L14" si="11">IF(K14="","",IF(K14="Muy Baja",0.2,IF(K14="Baja",0.4,IF(K14="Media",0.6,IF(K14="Alta",0.8,IF(K14="Muy Alta",1,))))))</f>
        <v>0.6</v>
      </c>
      <c r="M14" s="461" t="s">
        <v>209</v>
      </c>
      <c r="N14" s="429" t="str">
        <f>IF(NOT(ISERROR(MATCH(M14,'Tabla Impacto'!$B$221:$B$223,0))),'Tabla Impacto'!$F$223&amp;"Por favor no seleccionar los criterios de impacto(Afectación Económica o presupuestal y Pérdida Reputacional)",M14)</f>
        <v xml:space="preserve">     Afectación menor a 200 SMLMV</v>
      </c>
      <c r="O14" s="411" t="str">
        <f>IF(OR(N14='Tabla Impacto'!$C$11,N14='Tabla Impacto'!$D$11),"Leve",IF(OR(N14='Tabla Impacto'!$C$12,N14='Tabla Impacto'!$D$12),"Menor",IF(OR(N14='Tabla Impacto'!$C$13,N14='Tabla Impacto'!$D$13),"Moderado",IF(OR(N14='Tabla Impacto'!$C$14,N14='Tabla Impacto'!$D$14),"Mayor",IF(OR(N14='Tabla Impacto'!$C$15,N14='Tabla Impacto'!$D$15),"Catastrófico","")))))</f>
        <v>Leve</v>
      </c>
      <c r="P14" s="429">
        <f t="shared" ref="P14" si="12">IF(O14="","",IF(O14="Leve",0.2,IF(O14="Menor",0.4,IF(O14="Moderado",0.6,IF(O14="Mayor",0.8,IF(O14="Catastrófico",1,))))))</f>
        <v>0.2</v>
      </c>
      <c r="Q14" s="431" t="str">
        <f t="shared" ref="Q14" si="13">IF(OR(AND(K14="Muy Baja",O14="Leve"),AND(K14="Muy Baja",O14="Menor"),AND(K14="Baja",O14="Leve")),"Bajo",IF(OR(AND(K14="Muy baja",O14="Moderado"),AND(K14="Baja",O14="Menor"),AND(K14="Baja",O14="Moderado"),AND(K14="Media",O14="Leve"),AND(K14="Media",O14="Menor"),AND(K14="Media",O14="Moderado"),AND(K14="Alta",O14="Leve"),AND(K14="Alta",O14="Menor")),"Moderado",IF(OR(AND(K14="Muy Baja",O14="Mayor"),AND(K14="Baja",O14="Mayor"),AND(K14="Media",O14="Mayor"),AND(K14="Alta",O14="Moderado"),AND(K14="Alta",O14="Mayor"),AND(K14="Muy Alta",O14="Leve"),AND(K14="Muy Alta",O14="Menor"),AND(K14="Muy Alta",O14="Moderado"),AND(K14="Muy Alta",O14="Mayor")),"Alto",IF(OR(AND(K14="Muy Baja",O14="Catastrófico"),AND(K14="Baja",O14="Catastrófico"),AND(K14="Media",O14="Catastrófico"),AND(K14="Alta",O14="Catastrófico"),AND(K14="Muy Alta",O14="Catastrófico")),"Extremo",""))))</f>
        <v>Moderado</v>
      </c>
      <c r="R14" s="105">
        <v>1</v>
      </c>
      <c r="S14" s="224" t="s">
        <v>402</v>
      </c>
      <c r="T14" s="106" t="str">
        <f t="shared" si="1"/>
        <v>Probabilidad</v>
      </c>
      <c r="U14" s="111" t="s">
        <v>14</v>
      </c>
      <c r="V14" s="111" t="s">
        <v>9</v>
      </c>
      <c r="W14" s="112" t="str">
        <f>IF(AND(U14="Preventivo",V14="Automático"),"50%",IF(AND(U14="Preventivo",V14="Manual"),"40%",IF(AND(U14="Detectivo",V14="Automático"),"40%",IF(AND(U14="Detectivo",V14="Manual"),"30%",IF(AND(U14="Correctivo",V14="Automático"),"35%",IF(AND(U14="Correctivo",V14="Manual"),"25%",""))))))</f>
        <v>40%</v>
      </c>
      <c r="X14" s="111" t="s">
        <v>19</v>
      </c>
      <c r="Y14" s="111" t="s">
        <v>22</v>
      </c>
      <c r="Z14" s="111"/>
      <c r="AA14" s="107">
        <f>IFERROR(IF(T14="Probabilidad",(L14-(+L14*W14)),IF(T14="Impacto",L14,"")),"")</f>
        <v>0.36</v>
      </c>
      <c r="AB14" s="116" t="str">
        <f>IFERROR(IF(AA14="","",IF(AA14&lt;=0.2,"Muy Baja",IF(AA14&lt;=0.4,"Baja",IF(AA14&lt;=0.6,"Media",IF(AA14&lt;=0.8,"Alta","Muy Alta"))))),"")</f>
        <v>Baja</v>
      </c>
      <c r="AC14" s="117">
        <f t="shared" si="0"/>
        <v>0.36</v>
      </c>
      <c r="AD14" s="116" t="str">
        <f>IFERROR(IF(AE14="","",IF(AE14&lt;=0.2,"Leve",IF(AE14&lt;=0.4,"Menor",IF(AE14&lt;=0.6,"Moderado",IF(AE14&lt;=0.8,"Mayor","Catastrófico"))))),"")</f>
        <v>Leve</v>
      </c>
      <c r="AE14" s="117">
        <f>IFERROR(IF(T14="Impacto",(P14-(+P14*W14)),IF(T14="Probabilidad",P14,"")),"")</f>
        <v>0.2</v>
      </c>
      <c r="AF14" s="118" t="str">
        <f>IFERROR(IF(OR(AND(AB14="Muy Baja",AD14="Leve"),AND(AB14="Muy Baja",AD14="Menor"),AND(AB14="Baja",AD14="Leve")),"Bajo",IF(OR(AND(AB14="Muy baja",AD14="Moderado"),AND(AB14="Baja",AD14="Menor"),AND(AB14="Baja",AD14="Moderado"),AND(AB14="Media",AD14="Leve"),AND(AB14="Media",AD14="Menor"),AND(AB14="Media",AD14="Moderado"),AND(AB14="Alta",AD14="Leve"),AND(AB14="Alta",AD14="Menor")),"Moderado",IF(OR(AND(AB14="Muy Baja",AD14="Mayor"),AND(AB14="Baja",AD14="Mayor"),AND(AB14="Media",AD14="Mayor"),AND(AB14="Alta",AD14="Moderado"),AND(AB14="Alta",AD14="Mayor"),AND(AB14="Muy Alta",AD14="Leve"),AND(AB14="Muy Alta",AD14="Menor"),AND(AB14="Muy Alta",AD14="Moderado"),AND(AB14="Muy Alta",AD14="Mayor")),"Alto",IF(OR(AND(AB14="Muy Baja",AD14="Catastrófico"),AND(AB14="Baja",AD14="Catastrófico"),AND(AB14="Media",AD14="Catastrófico"),AND(AB14="Alta",AD14="Catastrófico"),AND(AB14="Muy Alta",AD14="Catastrófico")),"Extremo","")))),"")</f>
        <v>Bajo</v>
      </c>
      <c r="AG14" s="119" t="s">
        <v>131</v>
      </c>
      <c r="AH14" s="113" t="s">
        <v>403</v>
      </c>
      <c r="AI14" s="113" t="s">
        <v>393</v>
      </c>
      <c r="AJ14" s="115">
        <v>45778</v>
      </c>
      <c r="AK14" s="115">
        <v>45870</v>
      </c>
      <c r="AL14" s="113" t="s">
        <v>394</v>
      </c>
      <c r="AM14" s="114" t="s">
        <v>41</v>
      </c>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row>
    <row r="15" spans="1:71" ht="164.25" customHeight="1" x14ac:dyDescent="0.25">
      <c r="A15" s="396"/>
      <c r="B15" s="403"/>
      <c r="C15" s="403"/>
      <c r="D15" s="405"/>
      <c r="E15" s="137" t="s">
        <v>385</v>
      </c>
      <c r="F15" s="406"/>
      <c r="G15" s="387"/>
      <c r="H15" s="424"/>
      <c r="I15" s="408"/>
      <c r="J15" s="410"/>
      <c r="K15" s="412"/>
      <c r="L15" s="430"/>
      <c r="M15" s="462"/>
      <c r="N15" s="430">
        <f>IF(NOT(ISERROR(MATCH(M15,_xlfn.ANCHORARRAY(F22),0))),L24&amp;"Por favor no seleccionar los criterios de impacto",M15)</f>
        <v>0</v>
      </c>
      <c r="O15" s="412"/>
      <c r="P15" s="430"/>
      <c r="Q15" s="432"/>
      <c r="R15" s="105">
        <v>2</v>
      </c>
      <c r="S15" s="226" t="s">
        <v>404</v>
      </c>
      <c r="T15" s="106" t="str">
        <f t="shared" si="1"/>
        <v>Impacto</v>
      </c>
      <c r="U15" s="111" t="s">
        <v>16</v>
      </c>
      <c r="V15" s="111" t="s">
        <v>9</v>
      </c>
      <c r="W15" s="112" t="str">
        <f t="shared" ref="W15" si="14">IF(AND(U15="Preventivo",V15="Automático"),"50%",IF(AND(U15="Preventivo",V15="Manual"),"40%",IF(AND(U15="Detectivo",V15="Automático"),"40%",IF(AND(U15="Detectivo",V15="Manual"),"30%",IF(AND(U15="Correctivo",V15="Automático"),"35%",IF(AND(U15="Correctivo",V15="Manual"),"25%",""))))))</f>
        <v>25%</v>
      </c>
      <c r="X15" s="111" t="s">
        <v>20</v>
      </c>
      <c r="Y15" s="111" t="s">
        <v>23</v>
      </c>
      <c r="Z15" s="111"/>
      <c r="AA15" s="107">
        <f>IFERROR(IF(AND(T14="Probabilidad",T15="Probabilidad"),(AC14-(+AC14*W15)),IF(AND(T14="Impacto",T15="Probabilidad"),(L14-(+L14*W15)),IF(T15="Impacto",AC14,""))),"")</f>
        <v>0.36</v>
      </c>
      <c r="AB15" s="116" t="str">
        <f t="shared" ref="AB15" si="15">IFERROR(IF(AA15="","",IF(AA15&lt;=0.2,"Muy Baja",IF(AA15&lt;=0.4,"Baja",IF(AA15&lt;=0.6,"Media",IF(AA15&lt;=0.8,"Alta","Muy Alta"))))),"")</f>
        <v>Baja</v>
      </c>
      <c r="AC15" s="117">
        <f t="shared" si="0"/>
        <v>0.36</v>
      </c>
      <c r="AD15" s="116" t="str">
        <f t="shared" ref="AD15" si="16">IFERROR(IF(AE15="","",IF(AE15&lt;=0.2,"Leve",IF(AE15&lt;=0.4,"Menor",IF(AE15&lt;=0.6,"Moderado",IF(AE15&lt;=0.8,"Mayor","Catastrófico"))))),"")</f>
        <v>Leve</v>
      </c>
      <c r="AE15" s="117">
        <f>IFERROR(IF(AND(T14="Impacto",T15="Impacto"),(AE14-(+AE14*W15)),IF(AND(T14="Probabilidad",T15="Impacto"),(P14-(+P14*W15)),IF(T15="Probabilidad",AE14,""))),"")</f>
        <v>0.15000000000000002</v>
      </c>
      <c r="AF15" s="118" t="str">
        <f t="shared" ref="AF15" si="17">IFERROR(IF(OR(AND(AB15="Muy Baja",AD15="Leve"),AND(AB15="Muy Baja",AD15="Menor"),AND(AB15="Baja",AD15="Leve")),"Bajo",IF(OR(AND(AB15="Muy baja",AD15="Moderado"),AND(AB15="Baja",AD15="Menor"),AND(AB15="Baja",AD15="Moderado"),AND(AB15="Media",AD15="Leve"),AND(AB15="Media",AD15="Menor"),AND(AB15="Media",AD15="Moderado"),AND(AB15="Alta",AD15="Leve"),AND(AB15="Alta",AD15="Menor")),"Moderado",IF(OR(AND(AB15="Muy Baja",AD15="Mayor"),AND(AB15="Baja",AD15="Mayor"),AND(AB15="Media",AD15="Mayor"),AND(AB15="Alta",AD15="Moderado"),AND(AB15="Alta",AD15="Mayor"),AND(AB15="Muy Alta",AD15="Leve"),AND(AB15="Muy Alta",AD15="Menor"),AND(AB15="Muy Alta",AD15="Moderado"),AND(AB15="Muy Alta",AD15="Mayor")),"Alto",IF(OR(AND(AB15="Muy Baja",AD15="Catastrófico"),AND(AB15="Baja",AD15="Catastrófico"),AND(AB15="Media",AD15="Catastrófico"),AND(AB15="Alta",AD15="Catastrófico"),AND(AB15="Muy Alta",AD15="Catastrófico")),"Extremo","")))),"")</f>
        <v>Bajo</v>
      </c>
      <c r="AG15" s="119" t="s">
        <v>131</v>
      </c>
      <c r="AH15" s="113" t="s">
        <v>405</v>
      </c>
      <c r="AI15" s="113" t="s">
        <v>406</v>
      </c>
      <c r="AJ15" s="115">
        <v>45778</v>
      </c>
      <c r="AK15" s="115">
        <v>45870</v>
      </c>
      <c r="AL15" s="113" t="s">
        <v>394</v>
      </c>
      <c r="AM15" s="114" t="s">
        <v>41</v>
      </c>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row>
    <row r="16" spans="1:71" ht="26.25" customHeight="1" x14ac:dyDescent="0.25">
      <c r="A16" s="395">
        <v>4</v>
      </c>
      <c r="B16" s="416"/>
      <c r="C16" s="416"/>
      <c r="D16" s="464"/>
      <c r="E16" s="137"/>
      <c r="F16" s="406"/>
      <c r="G16" s="386"/>
      <c r="H16" s="138"/>
      <c r="I16" s="407"/>
      <c r="J16" s="409"/>
      <c r="K16" s="411" t="str">
        <f t="shared" ref="K16" si="18">IF(J16&lt;=0,"",IF(J16&lt;=2,"Muy Baja",IF(J16&lt;=24,"Baja",IF(J16&lt;=500,"Media",IF(J16&lt;=5000,"Alta","Muy Alta")))))</f>
        <v/>
      </c>
      <c r="L16" s="429" t="str">
        <f t="shared" ref="L16" si="19">IF(K16="","",IF(K16="Muy Baja",0.2,IF(K16="Baja",0.4,IF(K16="Media",0.6,IF(K16="Alta",0.8,IF(K16="Muy Alta",1,))))))</f>
        <v/>
      </c>
      <c r="M16" s="461"/>
      <c r="N16" s="429">
        <f>IF(NOT(ISERROR(MATCH(M16,'Tabla Impacto'!$B$221:$B$223,0))),'Tabla Impacto'!$F$223&amp;"Por favor no seleccionar los criterios de impacto(Afectación Económica o presupuestal y Pérdida Reputacional)",M16)</f>
        <v>0</v>
      </c>
      <c r="O16" s="411" t="str">
        <f>IF(OR(N16='Tabla Impacto'!$C$11,N16='Tabla Impacto'!$D$11),"Leve",IF(OR(N16='Tabla Impacto'!$C$12,N16='Tabla Impacto'!$D$12),"Menor",IF(OR(N16='Tabla Impacto'!$C$13,N16='Tabla Impacto'!$D$13),"Moderado",IF(OR(N16='Tabla Impacto'!$C$14,N16='Tabla Impacto'!$D$14),"Mayor",IF(OR(N16='Tabla Impacto'!$C$15,N16='Tabla Impacto'!$D$15),"Catastrófico","")))))</f>
        <v/>
      </c>
      <c r="P16" s="429" t="str">
        <f t="shared" ref="P16" si="20">IF(O16="","",IF(O16="Leve",0.2,IF(O16="Menor",0.4,IF(O16="Moderado",0.6,IF(O16="Mayor",0.8,IF(O16="Catastrófico",1,))))))</f>
        <v/>
      </c>
      <c r="Q16" s="431" t="str">
        <f t="shared" ref="Q16" si="21">IF(OR(AND(K16="Muy Baja",O16="Leve"),AND(K16="Muy Baja",O16="Menor"),AND(K16="Baja",O16="Leve")),"Bajo",IF(OR(AND(K16="Muy baja",O16="Moderado"),AND(K16="Baja",O16="Menor"),AND(K16="Baja",O16="Moderado"),AND(K16="Media",O16="Leve"),AND(K16="Media",O16="Menor"),AND(K16="Media",O16="Moderado"),AND(K16="Alta",O16="Leve"),AND(K16="Alta",O16="Menor")),"Moderado",IF(OR(AND(K16="Muy Baja",O16="Mayor"),AND(K16="Baja",O16="Mayor"),AND(K16="Media",O16="Mayor"),AND(K16="Alta",O16="Moderado"),AND(K16="Alta",O16="Mayor"),AND(K16="Muy Alta",O16="Leve"),AND(K16="Muy Alta",O16="Menor"),AND(K16="Muy Alta",O16="Moderado"),AND(K16="Muy Alta",O16="Mayor")),"Alto",IF(OR(AND(K16="Muy Baja",O16="Catastrófico"),AND(K16="Baja",O16="Catastrófico"),AND(K16="Media",O16="Catastrófico"),AND(K16="Alta",O16="Catastrófico"),AND(K16="Muy Alta",O16="Catastrófico")),"Extremo",""))))</f>
        <v/>
      </c>
      <c r="R16" s="105">
        <v>1</v>
      </c>
      <c r="S16" s="226"/>
      <c r="T16" s="106" t="str">
        <f t="shared" si="1"/>
        <v/>
      </c>
      <c r="U16" s="111"/>
      <c r="V16" s="111"/>
      <c r="W16" s="112" t="str">
        <f>IF(AND(U16="Preventivo",V16="Automático"),"50%",IF(AND(U16="Preventivo",V16="Manual"),"40%",IF(AND(U16="Detectivo",V16="Automático"),"40%",IF(AND(U16="Detectivo",V16="Manual"),"30%",IF(AND(U16="Correctivo",V16="Automático"),"35%",IF(AND(U16="Correctivo",V16="Manual"),"25%",""))))))</f>
        <v/>
      </c>
      <c r="X16" s="111"/>
      <c r="Y16" s="111"/>
      <c r="Z16" s="111"/>
      <c r="AA16" s="107" t="str">
        <f>IFERROR(IF(T16="Probabilidad",(L16-(+L16*W16)),IF(T16="Impacto",L16,"")),"")</f>
        <v/>
      </c>
      <c r="AB16" s="116" t="str">
        <f>IFERROR(IF(AA16="","",IF(AA16&lt;=0.2,"Muy Baja",IF(AA16&lt;=0.4,"Baja",IF(AA16&lt;=0.6,"Media",IF(AA16&lt;=0.8,"Alta","Muy Alta"))))),"")</f>
        <v/>
      </c>
      <c r="AC16" s="117" t="str">
        <f t="shared" si="0"/>
        <v/>
      </c>
      <c r="AD16" s="116" t="str">
        <f>IFERROR(IF(AE16="","",IF(AE16&lt;=0.2,"Leve",IF(AE16&lt;=0.4,"Menor",IF(AE16&lt;=0.6,"Moderado",IF(AE16&lt;=0.8,"Mayor","Catastrófico"))))),"")</f>
        <v/>
      </c>
      <c r="AE16" s="117" t="str">
        <f>IFERROR(IF(T16="Impacto",(P16-(+P16*W16)),IF(T16="Probabilidad",P16,"")),"")</f>
        <v/>
      </c>
      <c r="AF16" s="118" t="str">
        <f>IFERROR(IF(OR(AND(AB16="Muy Baja",AD16="Leve"),AND(AB16="Muy Baja",AD16="Menor"),AND(AB16="Baja",AD16="Leve")),"Bajo",IF(OR(AND(AB16="Muy baja",AD16="Moderado"),AND(AB16="Baja",AD16="Menor"),AND(AB16="Baja",AD16="Moderado"),AND(AB16="Media",AD16="Leve"),AND(AB16="Media",AD16="Menor"),AND(AB16="Media",AD16="Moderado"),AND(AB16="Alta",AD16="Leve"),AND(AB16="Alta",AD16="Menor")),"Moderado",IF(OR(AND(AB16="Muy Baja",AD16="Mayor"),AND(AB16="Baja",AD16="Mayor"),AND(AB16="Media",AD16="Mayor"),AND(AB16="Alta",AD16="Moderado"),AND(AB16="Alta",AD16="Mayor"),AND(AB16="Muy Alta",AD16="Leve"),AND(AB16="Muy Alta",AD16="Menor"),AND(AB16="Muy Alta",AD16="Moderado"),AND(AB16="Muy Alta",AD16="Mayor")),"Alto",IF(OR(AND(AB16="Muy Baja",AD16="Catastrófico"),AND(AB16="Baja",AD16="Catastrófico"),AND(AB16="Media",AD16="Catastrófico"),AND(AB16="Alta",AD16="Catastrófico"),AND(AB16="Muy Alta",AD16="Catastrófico")),"Extremo","")))),"")</f>
        <v/>
      </c>
      <c r="AG16" s="119"/>
      <c r="AH16" s="108"/>
      <c r="AI16" s="109"/>
      <c r="AJ16" s="110"/>
      <c r="AK16" s="110"/>
      <c r="AL16" s="108"/>
      <c r="AM16" s="109"/>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row>
    <row r="17" spans="1:71" ht="26.25" customHeight="1" x14ac:dyDescent="0.25">
      <c r="A17" s="396"/>
      <c r="B17" s="417"/>
      <c r="C17" s="417"/>
      <c r="D17" s="465"/>
      <c r="E17" s="137"/>
      <c r="F17" s="406"/>
      <c r="G17" s="387"/>
      <c r="H17" s="138"/>
      <c r="I17" s="408"/>
      <c r="J17" s="410"/>
      <c r="K17" s="412"/>
      <c r="L17" s="430"/>
      <c r="M17" s="462"/>
      <c r="N17" s="430">
        <f>IF(NOT(ISERROR(MATCH(M17,_xlfn.ANCHORARRAY(F28),0))),L30&amp;"Por favor no seleccionar los criterios de impacto",M17)</f>
        <v>0</v>
      </c>
      <c r="O17" s="412"/>
      <c r="P17" s="430"/>
      <c r="Q17" s="432"/>
      <c r="R17" s="105">
        <v>2</v>
      </c>
      <c r="S17" s="226"/>
      <c r="T17" s="106" t="str">
        <f t="shared" si="1"/>
        <v/>
      </c>
      <c r="U17" s="111"/>
      <c r="V17" s="111"/>
      <c r="W17" s="112" t="str">
        <f t="shared" ref="W17:W21" si="22">IF(AND(U17="Preventivo",V17="Automático"),"50%",IF(AND(U17="Preventivo",V17="Manual"),"40%",IF(AND(U17="Detectivo",V17="Automático"),"40%",IF(AND(U17="Detectivo",V17="Manual"),"30%",IF(AND(U17="Correctivo",V17="Automático"),"35%",IF(AND(U17="Correctivo",V17="Manual"),"25%",""))))))</f>
        <v/>
      </c>
      <c r="X17" s="111"/>
      <c r="Y17" s="111"/>
      <c r="Z17" s="111"/>
      <c r="AA17" s="107" t="str">
        <f>IFERROR(IF(AND(T16="Probabilidad",T17="Probabilidad"),(AC16-(+AC16*W17)),IF(AND(T16="Impacto",T17="Probabilidad"),(L16-(+L16*W17)),IF(T17="Impacto",AC16,""))),"")</f>
        <v/>
      </c>
      <c r="AB17" s="116" t="str">
        <f t="shared" ref="AB17:AB21" si="23">IFERROR(IF(AA17="","",IF(AA17&lt;=0.2,"Muy Baja",IF(AA17&lt;=0.4,"Baja",IF(AA17&lt;=0.6,"Media",IF(AA17&lt;=0.8,"Alta","Muy Alta"))))),"")</f>
        <v/>
      </c>
      <c r="AC17" s="117" t="str">
        <f t="shared" si="0"/>
        <v/>
      </c>
      <c r="AD17" s="116" t="str">
        <f t="shared" ref="AD17:AD21" si="24">IFERROR(IF(AE17="","",IF(AE17&lt;=0.2,"Leve",IF(AE17&lt;=0.4,"Menor",IF(AE17&lt;=0.6,"Moderado",IF(AE17&lt;=0.8,"Mayor","Catastrófico"))))),"")</f>
        <v/>
      </c>
      <c r="AE17" s="117" t="str">
        <f>IFERROR(IF(AND(T16="Impacto",T17="Impacto"),(AE16-(+AE16*W17)),IF(AND(T16="Probabilidad",T17="Impacto"),(P16-(+P16*W17)),IF(T17="Probabilidad",AE16,""))),"")</f>
        <v/>
      </c>
      <c r="AF17" s="118" t="str">
        <f t="shared" ref="AF17:AF21" si="25">IFERROR(IF(OR(AND(AB17="Muy Baja",AD17="Leve"),AND(AB17="Muy Baja",AD17="Menor"),AND(AB17="Baja",AD17="Leve")),"Bajo",IF(OR(AND(AB17="Muy baja",AD17="Moderado"),AND(AB17="Baja",AD17="Menor"),AND(AB17="Baja",AD17="Moderado"),AND(AB17="Media",AD17="Leve"),AND(AB17="Media",AD17="Menor"),AND(AB17="Media",AD17="Moderado"),AND(AB17="Alta",AD17="Leve"),AND(AB17="Alta",AD17="Menor")),"Moderado",IF(OR(AND(AB17="Muy Baja",AD17="Mayor"),AND(AB17="Baja",AD17="Mayor"),AND(AB17="Media",AD17="Mayor"),AND(AB17="Alta",AD17="Moderado"),AND(AB17="Alta",AD17="Mayor"),AND(AB17="Muy Alta",AD17="Leve"),AND(AB17="Muy Alta",AD17="Menor"),AND(AB17="Muy Alta",AD17="Moderado"),AND(AB17="Muy Alta",AD17="Mayor")),"Alto",IF(OR(AND(AB17="Muy Baja",AD17="Catastrófico"),AND(AB17="Baja",AD17="Catastrófico"),AND(AB17="Media",AD17="Catastrófico"),AND(AB17="Alta",AD17="Catastrófico"),AND(AB17="Muy Alta",AD17="Catastrófico")),"Extremo","")))),"")</f>
        <v/>
      </c>
      <c r="AG17" s="119"/>
      <c r="AH17" s="108"/>
      <c r="AI17" s="109"/>
      <c r="AJ17" s="110"/>
      <c r="AK17" s="110"/>
      <c r="AL17" s="108"/>
      <c r="AM17" s="109"/>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row>
    <row r="18" spans="1:71" ht="26.25" customHeight="1" x14ac:dyDescent="0.25">
      <c r="A18" s="396"/>
      <c r="B18" s="417"/>
      <c r="C18" s="417"/>
      <c r="D18" s="465"/>
      <c r="E18" s="137"/>
      <c r="F18" s="406"/>
      <c r="G18" s="387"/>
      <c r="H18" s="138"/>
      <c r="I18" s="408"/>
      <c r="J18" s="410"/>
      <c r="K18" s="412"/>
      <c r="L18" s="430"/>
      <c r="M18" s="462"/>
      <c r="N18" s="430">
        <f>IF(NOT(ISERROR(MATCH(M18,_xlfn.ANCHORARRAY(F29),0))),L31&amp;"Por favor no seleccionar los criterios de impacto",M18)</f>
        <v>0</v>
      </c>
      <c r="O18" s="412"/>
      <c r="P18" s="430"/>
      <c r="Q18" s="432"/>
      <c r="R18" s="105">
        <v>3</v>
      </c>
      <c r="S18" s="228"/>
      <c r="T18" s="106" t="str">
        <f t="shared" ref="T18:T21" si="26">IF(OR(U18="Preventivo",U18="Detectivo"),"Probabilidad",IF(U18="Correctivo","Impacto",""))</f>
        <v/>
      </c>
      <c r="U18" s="111"/>
      <c r="V18" s="111"/>
      <c r="W18" s="112" t="str">
        <f t="shared" si="22"/>
        <v/>
      </c>
      <c r="X18" s="111"/>
      <c r="Y18" s="111"/>
      <c r="Z18" s="111"/>
      <c r="AA18" s="107" t="str">
        <f>IFERROR(IF(AND(T17="Probabilidad",T18="Probabilidad"),(AC17-(+AC17*W18)),IF(AND(T17="Impacto",T18="Probabilidad"),(AC16-(+AC16*W18)),IF(T18="Impacto",AC17,""))),"")</f>
        <v/>
      </c>
      <c r="AB18" s="116" t="str">
        <f t="shared" si="23"/>
        <v/>
      </c>
      <c r="AC18" s="117" t="str">
        <f t="shared" ref="AC18:AC21" si="27">+AA18</f>
        <v/>
      </c>
      <c r="AD18" s="116" t="str">
        <f t="shared" si="24"/>
        <v/>
      </c>
      <c r="AE18" s="117" t="str">
        <f t="shared" ref="AE18:AE21" si="28">IFERROR(IF(AND(T17="Impacto",T18="Impacto"),(AE17-(+AE17*W18)),IF(AND(T17="Probabilidad",T18="Impacto"),(AE16-(+AE16*W18)),IF(T18="Probabilidad",AE17,""))),"")</f>
        <v/>
      </c>
      <c r="AF18" s="118" t="str">
        <f t="shared" si="25"/>
        <v/>
      </c>
      <c r="AG18" s="119"/>
      <c r="AH18" s="108"/>
      <c r="AI18" s="109"/>
      <c r="AJ18" s="110"/>
      <c r="AK18" s="110"/>
      <c r="AL18" s="108"/>
      <c r="AM18" s="109"/>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row>
    <row r="19" spans="1:71" ht="26.25" customHeight="1" x14ac:dyDescent="0.25">
      <c r="A19" s="396"/>
      <c r="B19" s="417"/>
      <c r="C19" s="417"/>
      <c r="D19" s="465"/>
      <c r="E19" s="137"/>
      <c r="F19" s="406"/>
      <c r="G19" s="387"/>
      <c r="H19" s="138"/>
      <c r="I19" s="408"/>
      <c r="J19" s="410"/>
      <c r="K19" s="412"/>
      <c r="L19" s="430"/>
      <c r="M19" s="462"/>
      <c r="N19" s="430">
        <f>IF(NOT(ISERROR(MATCH(M19,_xlfn.ANCHORARRAY(F30),0))),L32&amp;"Por favor no seleccionar los criterios de impacto",M19)</f>
        <v>0</v>
      </c>
      <c r="O19" s="412"/>
      <c r="P19" s="430"/>
      <c r="Q19" s="432"/>
      <c r="R19" s="105">
        <v>4</v>
      </c>
      <c r="S19" s="226"/>
      <c r="T19" s="106" t="str">
        <f t="shared" si="26"/>
        <v/>
      </c>
      <c r="U19" s="111"/>
      <c r="V19" s="111"/>
      <c r="W19" s="112" t="str">
        <f t="shared" si="22"/>
        <v/>
      </c>
      <c r="X19" s="111"/>
      <c r="Y19" s="111"/>
      <c r="Z19" s="111"/>
      <c r="AA19" s="107" t="str">
        <f t="shared" ref="AA19:AA21" si="29">IFERROR(IF(AND(T18="Probabilidad",T19="Probabilidad"),(AC18-(+AC18*W19)),IF(AND(T18="Impacto",T19="Probabilidad"),(AC17-(+AC17*W19)),IF(T19="Impacto",AC18,""))),"")</f>
        <v/>
      </c>
      <c r="AB19" s="116" t="str">
        <f t="shared" si="23"/>
        <v/>
      </c>
      <c r="AC19" s="117" t="str">
        <f t="shared" si="27"/>
        <v/>
      </c>
      <c r="AD19" s="116" t="str">
        <f t="shared" si="24"/>
        <v/>
      </c>
      <c r="AE19" s="117" t="str">
        <f t="shared" si="28"/>
        <v/>
      </c>
      <c r="AF19" s="118" t="str">
        <f t="shared" si="25"/>
        <v/>
      </c>
      <c r="AG19" s="119"/>
      <c r="AH19" s="108"/>
      <c r="AI19" s="109"/>
      <c r="AJ19" s="110"/>
      <c r="AK19" s="110"/>
      <c r="AL19" s="108"/>
      <c r="AM19" s="109"/>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row>
    <row r="20" spans="1:71" ht="26.25" customHeight="1" x14ac:dyDescent="0.25">
      <c r="A20" s="396"/>
      <c r="B20" s="417"/>
      <c r="C20" s="417"/>
      <c r="D20" s="465"/>
      <c r="E20" s="137"/>
      <c r="F20" s="406"/>
      <c r="G20" s="387"/>
      <c r="H20" s="138"/>
      <c r="I20" s="408"/>
      <c r="J20" s="410"/>
      <c r="K20" s="412"/>
      <c r="L20" s="430"/>
      <c r="M20" s="462"/>
      <c r="N20" s="430">
        <f>IF(NOT(ISERROR(MATCH(M20,_xlfn.ANCHORARRAY(F31),0))),L33&amp;"Por favor no seleccionar los criterios de impacto",M20)</f>
        <v>0</v>
      </c>
      <c r="O20" s="412"/>
      <c r="P20" s="430"/>
      <c r="Q20" s="432"/>
      <c r="R20" s="105">
        <v>5</v>
      </c>
      <c r="S20" s="226"/>
      <c r="T20" s="106" t="str">
        <f t="shared" si="26"/>
        <v/>
      </c>
      <c r="U20" s="111"/>
      <c r="V20" s="111"/>
      <c r="W20" s="112" t="str">
        <f t="shared" si="22"/>
        <v/>
      </c>
      <c r="X20" s="111"/>
      <c r="Y20" s="111"/>
      <c r="Z20" s="111"/>
      <c r="AA20" s="107" t="str">
        <f t="shared" si="29"/>
        <v/>
      </c>
      <c r="AB20" s="116" t="str">
        <f t="shared" si="23"/>
        <v/>
      </c>
      <c r="AC20" s="117" t="str">
        <f t="shared" si="27"/>
        <v/>
      </c>
      <c r="AD20" s="116" t="str">
        <f t="shared" si="24"/>
        <v/>
      </c>
      <c r="AE20" s="117" t="str">
        <f t="shared" si="28"/>
        <v/>
      </c>
      <c r="AF20" s="118" t="str">
        <f t="shared" si="25"/>
        <v/>
      </c>
      <c r="AG20" s="119"/>
      <c r="AH20" s="108"/>
      <c r="AI20" s="109"/>
      <c r="AJ20" s="110"/>
      <c r="AK20" s="110"/>
      <c r="AL20" s="108"/>
      <c r="AM20" s="109"/>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row>
    <row r="21" spans="1:71" ht="26.25" customHeight="1" x14ac:dyDescent="0.25">
      <c r="A21" s="463"/>
      <c r="B21" s="418"/>
      <c r="C21" s="418"/>
      <c r="D21" s="466"/>
      <c r="E21" s="137"/>
      <c r="F21" s="406"/>
      <c r="G21" s="388"/>
      <c r="H21" s="138"/>
      <c r="I21" s="467"/>
      <c r="J21" s="419"/>
      <c r="K21" s="420"/>
      <c r="L21" s="468"/>
      <c r="M21" s="469"/>
      <c r="N21" s="468">
        <f>IF(NOT(ISERROR(MATCH(M21,_xlfn.ANCHORARRAY(F32),0))),L34&amp;"Por favor no seleccionar los criterios de impacto",M21)</f>
        <v>0</v>
      </c>
      <c r="O21" s="420"/>
      <c r="P21" s="468"/>
      <c r="Q21" s="470"/>
      <c r="R21" s="105">
        <v>6</v>
      </c>
      <c r="S21" s="226"/>
      <c r="T21" s="106" t="str">
        <f t="shared" si="26"/>
        <v/>
      </c>
      <c r="U21" s="111"/>
      <c r="V21" s="111"/>
      <c r="W21" s="112" t="str">
        <f t="shared" si="22"/>
        <v/>
      </c>
      <c r="X21" s="111"/>
      <c r="Y21" s="111"/>
      <c r="Z21" s="111"/>
      <c r="AA21" s="107" t="str">
        <f t="shared" si="29"/>
        <v/>
      </c>
      <c r="AB21" s="116" t="str">
        <f t="shared" si="23"/>
        <v/>
      </c>
      <c r="AC21" s="117" t="str">
        <f t="shared" si="27"/>
        <v/>
      </c>
      <c r="AD21" s="116" t="str">
        <f t="shared" si="24"/>
        <v/>
      </c>
      <c r="AE21" s="117" t="str">
        <f t="shared" si="28"/>
        <v/>
      </c>
      <c r="AF21" s="118" t="str">
        <f t="shared" si="25"/>
        <v/>
      </c>
      <c r="AG21" s="119"/>
      <c r="AH21" s="108"/>
      <c r="AI21" s="109"/>
      <c r="AJ21" s="110"/>
      <c r="AK21" s="110"/>
      <c r="AL21" s="108"/>
      <c r="AM21" s="109"/>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row>
    <row r="22" spans="1:71" ht="26.25" customHeight="1" x14ac:dyDescent="0.25">
      <c r="A22" s="395">
        <v>5</v>
      </c>
      <c r="B22" s="416"/>
      <c r="C22" s="416"/>
      <c r="D22" s="464"/>
      <c r="E22" s="137"/>
      <c r="F22" s="406"/>
      <c r="G22" s="386"/>
      <c r="H22" s="138"/>
      <c r="I22" s="407"/>
      <c r="J22" s="409"/>
      <c r="K22" s="411" t="str">
        <f t="shared" ref="K22" si="30">IF(J22&lt;=0,"",IF(J22&lt;=2,"Muy Baja",IF(J22&lt;=24,"Baja",IF(J22&lt;=500,"Media",IF(J22&lt;=5000,"Alta","Muy Alta")))))</f>
        <v/>
      </c>
      <c r="L22" s="429" t="str">
        <f t="shared" ref="L22" si="31">IF(K22="","",IF(K22="Muy Baja",0.2,IF(K22="Baja",0.4,IF(K22="Media",0.6,IF(K22="Alta",0.8,IF(K22="Muy Alta",1,))))))</f>
        <v/>
      </c>
      <c r="M22" s="461"/>
      <c r="N22" s="429">
        <f>IF(NOT(ISERROR(MATCH(M22,'Tabla Impacto'!$B$221:$B$223,0))),'Tabla Impacto'!$F$223&amp;"Por favor no seleccionar los criterios de impacto(Afectación Económica o presupuestal y Pérdida Reputacional)",M22)</f>
        <v>0</v>
      </c>
      <c r="O22" s="411" t="str">
        <f>IF(OR(N22='Tabla Impacto'!$C$11,N22='Tabla Impacto'!$D$11),"Leve",IF(OR(N22='Tabla Impacto'!$C$12,N22='Tabla Impacto'!$D$12),"Menor",IF(OR(N22='Tabla Impacto'!$C$13,N22='Tabla Impacto'!$D$13),"Moderado",IF(OR(N22='Tabla Impacto'!$C$14,N22='Tabla Impacto'!$D$14),"Mayor",IF(OR(N22='Tabla Impacto'!$C$15,N22='Tabla Impacto'!$D$15),"Catastrófico","")))))</f>
        <v/>
      </c>
      <c r="P22" s="429" t="str">
        <f t="shared" ref="P22" si="32">IF(O22="","",IF(O22="Leve",0.2,IF(O22="Menor",0.4,IF(O22="Moderado",0.6,IF(O22="Mayor",0.8,IF(O22="Catastrófico",1,))))))</f>
        <v/>
      </c>
      <c r="Q22" s="431" t="str">
        <f t="shared" ref="Q22" si="33">IF(OR(AND(K22="Muy Baja",O22="Leve"),AND(K22="Muy Baja",O22="Menor"),AND(K22="Baja",O22="Leve")),"Bajo",IF(OR(AND(K22="Muy baja",O22="Moderado"),AND(K22="Baja",O22="Menor"),AND(K22="Baja",O22="Moderado"),AND(K22="Media",O22="Leve"),AND(K22="Media",O22="Menor"),AND(K22="Media",O22="Moderado"),AND(K22="Alta",O22="Leve"),AND(K22="Alta",O22="Menor")),"Moderado",IF(OR(AND(K22="Muy Baja",O22="Mayor"),AND(K22="Baja",O22="Mayor"),AND(K22="Media",O22="Mayor"),AND(K22="Alta",O22="Moderado"),AND(K22="Alta",O22="Mayor"),AND(K22="Muy Alta",O22="Leve"),AND(K22="Muy Alta",O22="Menor"),AND(K22="Muy Alta",O22="Moderado"),AND(K22="Muy Alta",O22="Mayor")),"Alto",IF(OR(AND(K22="Muy Baja",O22="Catastrófico"),AND(K22="Baja",O22="Catastrófico"),AND(K22="Media",O22="Catastrófico"),AND(K22="Alta",O22="Catastrófico"),AND(K22="Muy Alta",O22="Catastrófico")),"Extremo",""))))</f>
        <v/>
      </c>
      <c r="R22" s="105">
        <v>1</v>
      </c>
      <c r="S22" s="226"/>
      <c r="T22" s="106" t="str">
        <f>IF(OR(U22="Preventivo",U22="Detectivo"),"Probabilidad",IF(U22="Correctivo","Impacto",""))</f>
        <v/>
      </c>
      <c r="U22" s="111"/>
      <c r="V22" s="111"/>
      <c r="W22" s="112" t="str">
        <f>IF(AND(U22="Preventivo",V22="Automático"),"50%",IF(AND(U22="Preventivo",V22="Manual"),"40%",IF(AND(U22="Detectivo",V22="Automático"),"40%",IF(AND(U22="Detectivo",V22="Manual"),"30%",IF(AND(U22="Correctivo",V22="Automático"),"35%",IF(AND(U22="Correctivo",V22="Manual"),"25%",""))))))</f>
        <v/>
      </c>
      <c r="X22" s="111"/>
      <c r="Y22" s="111"/>
      <c r="Z22" s="111"/>
      <c r="AA22" s="107" t="str">
        <f>IFERROR(IF(T22="Probabilidad",(L22-(+L22*W22)),IF(T22="Impacto",L22,"")),"")</f>
        <v/>
      </c>
      <c r="AB22" s="116" t="str">
        <f>IFERROR(IF(AA22="","",IF(AA22&lt;=0.2,"Muy Baja",IF(AA22&lt;=0.4,"Baja",IF(AA22&lt;=0.6,"Media",IF(AA22&lt;=0.8,"Alta","Muy Alta"))))),"")</f>
        <v/>
      </c>
      <c r="AC22" s="117" t="str">
        <f>+AA22</f>
        <v/>
      </c>
      <c r="AD22" s="116" t="str">
        <f>IFERROR(IF(AE22="","",IF(AE22&lt;=0.2,"Leve",IF(AE22&lt;=0.4,"Menor",IF(AE22&lt;=0.6,"Moderado",IF(AE22&lt;=0.8,"Mayor","Catastrófico"))))),"")</f>
        <v/>
      </c>
      <c r="AE22" s="117" t="str">
        <f>IFERROR(IF(T22="Impacto",(P22-(+P22*W22)),IF(T22="Probabilidad",P22,"")),"")</f>
        <v/>
      </c>
      <c r="AF22" s="118" t="str">
        <f>IFERROR(IF(OR(AND(AB22="Muy Baja",AD22="Leve"),AND(AB22="Muy Baja",AD22="Menor"),AND(AB22="Baja",AD22="Leve")),"Bajo",IF(OR(AND(AB22="Muy baja",AD22="Moderado"),AND(AB22="Baja",AD22="Menor"),AND(AB22="Baja",AD22="Moderado"),AND(AB22="Media",AD22="Leve"),AND(AB22="Media",AD22="Menor"),AND(AB22="Media",AD22="Moderado"),AND(AB22="Alta",AD22="Leve"),AND(AB22="Alta",AD22="Menor")),"Moderado",IF(OR(AND(AB22="Muy Baja",AD22="Mayor"),AND(AB22="Baja",AD22="Mayor"),AND(AB22="Media",AD22="Mayor"),AND(AB22="Alta",AD22="Moderado"),AND(AB22="Alta",AD22="Mayor"),AND(AB22="Muy Alta",AD22="Leve"),AND(AB22="Muy Alta",AD22="Menor"),AND(AB22="Muy Alta",AD22="Moderado"),AND(AB22="Muy Alta",AD22="Mayor")),"Alto",IF(OR(AND(AB22="Muy Baja",AD22="Catastrófico"),AND(AB22="Baja",AD22="Catastrófico"),AND(AB22="Media",AD22="Catastrófico"),AND(AB22="Alta",AD22="Catastrófico"),AND(AB22="Muy Alta",AD22="Catastrófico")),"Extremo","")))),"")</f>
        <v/>
      </c>
      <c r="AG22" s="119"/>
      <c r="AH22" s="108"/>
      <c r="AI22" s="109"/>
      <c r="AJ22" s="110"/>
      <c r="AK22" s="110"/>
      <c r="AL22" s="108"/>
      <c r="AM22" s="109"/>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row>
    <row r="23" spans="1:71" ht="26.25" customHeight="1" x14ac:dyDescent="0.25">
      <c r="A23" s="396"/>
      <c r="B23" s="417"/>
      <c r="C23" s="417"/>
      <c r="D23" s="465"/>
      <c r="E23" s="137"/>
      <c r="F23" s="406"/>
      <c r="G23" s="387"/>
      <c r="H23" s="138"/>
      <c r="I23" s="408"/>
      <c r="J23" s="410"/>
      <c r="K23" s="412"/>
      <c r="L23" s="430"/>
      <c r="M23" s="462"/>
      <c r="N23" s="430">
        <f>IF(NOT(ISERROR(MATCH(M23,_xlfn.ANCHORARRAY(F34),0))),L36&amp;"Por favor no seleccionar los criterios de impacto",M23)</f>
        <v>0</v>
      </c>
      <c r="O23" s="412"/>
      <c r="P23" s="430"/>
      <c r="Q23" s="432"/>
      <c r="R23" s="105">
        <v>2</v>
      </c>
      <c r="S23" s="226"/>
      <c r="T23" s="106" t="str">
        <f>IF(OR(U23="Preventivo",U23="Detectivo"),"Probabilidad",IF(U23="Correctivo","Impacto",""))</f>
        <v/>
      </c>
      <c r="U23" s="111"/>
      <c r="V23" s="111"/>
      <c r="W23" s="112" t="str">
        <f t="shared" ref="W23:W27" si="34">IF(AND(U23="Preventivo",V23="Automático"),"50%",IF(AND(U23="Preventivo",V23="Manual"),"40%",IF(AND(U23="Detectivo",V23="Automático"),"40%",IF(AND(U23="Detectivo",V23="Manual"),"30%",IF(AND(U23="Correctivo",V23="Automático"),"35%",IF(AND(U23="Correctivo",V23="Manual"),"25%",""))))))</f>
        <v/>
      </c>
      <c r="X23" s="111"/>
      <c r="Y23" s="111"/>
      <c r="Z23" s="111"/>
      <c r="AA23" s="107" t="str">
        <f>IFERROR(IF(AND(T22="Probabilidad",T23="Probabilidad"),(AC22-(+AC22*W23)),IF(AND(T22="Impacto",T23="Probabilidad"),(L22-(+L22*W23)),IF(T23="Impacto",AC22,""))),"")</f>
        <v/>
      </c>
      <c r="AB23" s="116" t="str">
        <f t="shared" ref="AB23:AB27" si="35">IFERROR(IF(AA23="","",IF(AA23&lt;=0.2,"Muy Baja",IF(AA23&lt;=0.4,"Baja",IF(AA23&lt;=0.6,"Media",IF(AA23&lt;=0.8,"Alta","Muy Alta"))))),"")</f>
        <v/>
      </c>
      <c r="AC23" s="117" t="str">
        <f>+AA23</f>
        <v/>
      </c>
      <c r="AD23" s="116" t="str">
        <f t="shared" ref="AD23:AD27" si="36">IFERROR(IF(AE23="","",IF(AE23&lt;=0.2,"Leve",IF(AE23&lt;=0.4,"Menor",IF(AE23&lt;=0.6,"Moderado",IF(AE23&lt;=0.8,"Mayor","Catastrófico"))))),"")</f>
        <v/>
      </c>
      <c r="AE23" s="117" t="str">
        <f>IFERROR(IF(AND(T22="Impacto",T23="Impacto"),(AE22-(+AE22*W23)),IF(AND(T22="Probabilidad",T23="Impacto"),(P22-(+P22*W23)),IF(T23="Probabilidad",AE22,""))),"")</f>
        <v/>
      </c>
      <c r="AF23" s="118" t="str">
        <f t="shared" ref="AF23:AF27" si="37">IFERROR(IF(OR(AND(AB23="Muy Baja",AD23="Leve"),AND(AB23="Muy Baja",AD23="Menor"),AND(AB23="Baja",AD23="Leve")),"Bajo",IF(OR(AND(AB23="Muy baja",AD23="Moderado"),AND(AB23="Baja",AD23="Menor"),AND(AB23="Baja",AD23="Moderado"),AND(AB23="Media",AD23="Leve"),AND(AB23="Media",AD23="Menor"),AND(AB23="Media",AD23="Moderado"),AND(AB23="Alta",AD23="Leve"),AND(AB23="Alta",AD23="Menor")),"Moderado",IF(OR(AND(AB23="Muy Baja",AD23="Mayor"),AND(AB23="Baja",AD23="Mayor"),AND(AB23="Media",AD23="Mayor"),AND(AB23="Alta",AD23="Moderado"),AND(AB23="Alta",AD23="Mayor"),AND(AB23="Muy Alta",AD23="Leve"),AND(AB23="Muy Alta",AD23="Menor"),AND(AB23="Muy Alta",AD23="Moderado"),AND(AB23="Muy Alta",AD23="Mayor")),"Alto",IF(OR(AND(AB23="Muy Baja",AD23="Catastrófico"),AND(AB23="Baja",AD23="Catastrófico"),AND(AB23="Media",AD23="Catastrófico"),AND(AB23="Alta",AD23="Catastrófico"),AND(AB23="Muy Alta",AD23="Catastrófico")),"Extremo","")))),"")</f>
        <v/>
      </c>
      <c r="AG23" s="119"/>
      <c r="AH23" s="108"/>
      <c r="AI23" s="109"/>
      <c r="AJ23" s="110"/>
      <c r="AK23" s="110"/>
      <c r="AL23" s="108"/>
      <c r="AM23" s="109"/>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row>
    <row r="24" spans="1:71" ht="26.25" customHeight="1" x14ac:dyDescent="0.25">
      <c r="A24" s="396"/>
      <c r="B24" s="417"/>
      <c r="C24" s="417"/>
      <c r="D24" s="465"/>
      <c r="E24" s="137"/>
      <c r="F24" s="406"/>
      <c r="G24" s="387"/>
      <c r="H24" s="138"/>
      <c r="I24" s="408"/>
      <c r="J24" s="410"/>
      <c r="K24" s="412"/>
      <c r="L24" s="430"/>
      <c r="M24" s="462"/>
      <c r="N24" s="430">
        <f>IF(NOT(ISERROR(MATCH(M24,_xlfn.ANCHORARRAY(F35),0))),L37&amp;"Por favor no seleccionar los criterios de impacto",M24)</f>
        <v>0</v>
      </c>
      <c r="O24" s="412"/>
      <c r="P24" s="430"/>
      <c r="Q24" s="432"/>
      <c r="R24" s="105">
        <v>3</v>
      </c>
      <c r="S24" s="228"/>
      <c r="T24" s="106" t="str">
        <f t="shared" ref="T24:T27" si="38">IF(OR(U24="Preventivo",U24="Detectivo"),"Probabilidad",IF(U24="Correctivo","Impacto",""))</f>
        <v/>
      </c>
      <c r="U24" s="111"/>
      <c r="V24" s="111"/>
      <c r="W24" s="112" t="str">
        <f t="shared" si="34"/>
        <v/>
      </c>
      <c r="X24" s="111"/>
      <c r="Y24" s="111"/>
      <c r="Z24" s="111"/>
      <c r="AA24" s="107" t="str">
        <f>IFERROR(IF(AND(T23="Probabilidad",T24="Probabilidad"),(AC23-(+AC23*W24)),IF(AND(T23="Impacto",T24="Probabilidad"),(AC22-(+AC22*W24)),IF(T24="Impacto",AC23,""))),"")</f>
        <v/>
      </c>
      <c r="AB24" s="116" t="str">
        <f t="shared" si="35"/>
        <v/>
      </c>
      <c r="AC24" s="117" t="str">
        <f t="shared" ref="AC24:AC27" si="39">+AA24</f>
        <v/>
      </c>
      <c r="AD24" s="116" t="str">
        <f t="shared" si="36"/>
        <v/>
      </c>
      <c r="AE24" s="117" t="str">
        <f t="shared" ref="AE24:AE27" si="40">IFERROR(IF(AND(T23="Impacto",T24="Impacto"),(AE23-(+AE23*W24)),IF(AND(T23="Probabilidad",T24="Impacto"),(AE22-(+AE22*W24)),IF(T24="Probabilidad",AE23,""))),"")</f>
        <v/>
      </c>
      <c r="AF24" s="118" t="str">
        <f t="shared" si="37"/>
        <v/>
      </c>
      <c r="AG24" s="119"/>
      <c r="AH24" s="108"/>
      <c r="AI24" s="109"/>
      <c r="AJ24" s="110"/>
      <c r="AK24" s="110"/>
      <c r="AL24" s="108"/>
      <c r="AM24" s="109"/>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row>
    <row r="25" spans="1:71" ht="26.25" customHeight="1" x14ac:dyDescent="0.25">
      <c r="A25" s="396"/>
      <c r="B25" s="417"/>
      <c r="C25" s="417"/>
      <c r="D25" s="465"/>
      <c r="E25" s="137"/>
      <c r="F25" s="406"/>
      <c r="G25" s="387"/>
      <c r="H25" s="138"/>
      <c r="I25" s="408"/>
      <c r="J25" s="410"/>
      <c r="K25" s="412"/>
      <c r="L25" s="430"/>
      <c r="M25" s="462"/>
      <c r="N25" s="430">
        <f>IF(NOT(ISERROR(MATCH(M25,_xlfn.ANCHORARRAY(F36),0))),L38&amp;"Por favor no seleccionar los criterios de impacto",M25)</f>
        <v>0</v>
      </c>
      <c r="O25" s="412"/>
      <c r="P25" s="430"/>
      <c r="Q25" s="432"/>
      <c r="R25" s="105">
        <v>4</v>
      </c>
      <c r="S25" s="226"/>
      <c r="T25" s="106" t="str">
        <f t="shared" si="38"/>
        <v/>
      </c>
      <c r="U25" s="111"/>
      <c r="V25" s="111"/>
      <c r="W25" s="112" t="str">
        <f t="shared" si="34"/>
        <v/>
      </c>
      <c r="X25" s="111"/>
      <c r="Y25" s="111"/>
      <c r="Z25" s="111"/>
      <c r="AA25" s="107" t="str">
        <f t="shared" ref="AA25:AA27" si="41">IFERROR(IF(AND(T24="Probabilidad",T25="Probabilidad"),(AC24-(+AC24*W25)),IF(AND(T24="Impacto",T25="Probabilidad"),(AC23-(+AC23*W25)),IF(T25="Impacto",AC24,""))),"")</f>
        <v/>
      </c>
      <c r="AB25" s="116" t="str">
        <f t="shared" si="35"/>
        <v/>
      </c>
      <c r="AC25" s="117" t="str">
        <f t="shared" si="39"/>
        <v/>
      </c>
      <c r="AD25" s="116" t="str">
        <f t="shared" si="36"/>
        <v/>
      </c>
      <c r="AE25" s="117" t="str">
        <f t="shared" si="40"/>
        <v/>
      </c>
      <c r="AF25" s="118" t="str">
        <f t="shared" si="37"/>
        <v/>
      </c>
      <c r="AG25" s="119"/>
      <c r="AH25" s="108"/>
      <c r="AI25" s="109"/>
      <c r="AJ25" s="110"/>
      <c r="AK25" s="110"/>
      <c r="AL25" s="108"/>
      <c r="AM25" s="109"/>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row>
    <row r="26" spans="1:71" ht="26.25" customHeight="1" x14ac:dyDescent="0.25">
      <c r="A26" s="396"/>
      <c r="B26" s="417"/>
      <c r="C26" s="417"/>
      <c r="D26" s="465"/>
      <c r="E26" s="137"/>
      <c r="F26" s="406"/>
      <c r="G26" s="387"/>
      <c r="H26" s="138"/>
      <c r="I26" s="408"/>
      <c r="J26" s="410"/>
      <c r="K26" s="412"/>
      <c r="L26" s="430"/>
      <c r="M26" s="462"/>
      <c r="N26" s="430">
        <f>IF(NOT(ISERROR(MATCH(M26,_xlfn.ANCHORARRAY(F37),0))),L39&amp;"Por favor no seleccionar los criterios de impacto",M26)</f>
        <v>0</v>
      </c>
      <c r="O26" s="412"/>
      <c r="P26" s="430"/>
      <c r="Q26" s="432"/>
      <c r="R26" s="105">
        <v>5</v>
      </c>
      <c r="S26" s="226"/>
      <c r="T26" s="106" t="str">
        <f t="shared" si="38"/>
        <v/>
      </c>
      <c r="U26" s="111"/>
      <c r="V26" s="111"/>
      <c r="W26" s="112" t="str">
        <f t="shared" si="34"/>
        <v/>
      </c>
      <c r="X26" s="111"/>
      <c r="Y26" s="111"/>
      <c r="Z26" s="111"/>
      <c r="AA26" s="107" t="str">
        <f t="shared" si="41"/>
        <v/>
      </c>
      <c r="AB26" s="116" t="str">
        <f t="shared" si="35"/>
        <v/>
      </c>
      <c r="AC26" s="117" t="str">
        <f t="shared" si="39"/>
        <v/>
      </c>
      <c r="AD26" s="116" t="str">
        <f t="shared" si="36"/>
        <v/>
      </c>
      <c r="AE26" s="117" t="str">
        <f t="shared" si="40"/>
        <v/>
      </c>
      <c r="AF26" s="118" t="str">
        <f t="shared" si="37"/>
        <v/>
      </c>
      <c r="AG26" s="119"/>
      <c r="AH26" s="108"/>
      <c r="AI26" s="109"/>
      <c r="AJ26" s="110"/>
      <c r="AK26" s="110"/>
      <c r="AL26" s="108"/>
      <c r="AM26" s="109"/>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row>
    <row r="27" spans="1:71" ht="26.25" customHeight="1" x14ac:dyDescent="0.25">
      <c r="A27" s="463"/>
      <c r="B27" s="418"/>
      <c r="C27" s="418"/>
      <c r="D27" s="466"/>
      <c r="E27" s="137"/>
      <c r="F27" s="406"/>
      <c r="G27" s="388"/>
      <c r="H27" s="138"/>
      <c r="I27" s="467"/>
      <c r="J27" s="419"/>
      <c r="K27" s="420"/>
      <c r="L27" s="468"/>
      <c r="M27" s="469"/>
      <c r="N27" s="468">
        <f>IF(NOT(ISERROR(MATCH(M27,_xlfn.ANCHORARRAY(F38),0))),L40&amp;"Por favor no seleccionar los criterios de impacto",M27)</f>
        <v>0</v>
      </c>
      <c r="O27" s="420"/>
      <c r="P27" s="468"/>
      <c r="Q27" s="470"/>
      <c r="R27" s="105">
        <v>6</v>
      </c>
      <c r="S27" s="226"/>
      <c r="T27" s="106" t="str">
        <f t="shared" si="38"/>
        <v/>
      </c>
      <c r="U27" s="111"/>
      <c r="V27" s="111"/>
      <c r="W27" s="112" t="str">
        <f t="shared" si="34"/>
        <v/>
      </c>
      <c r="X27" s="111"/>
      <c r="Y27" s="111"/>
      <c r="Z27" s="111"/>
      <c r="AA27" s="107" t="str">
        <f t="shared" si="41"/>
        <v/>
      </c>
      <c r="AB27" s="116" t="str">
        <f t="shared" si="35"/>
        <v/>
      </c>
      <c r="AC27" s="117" t="str">
        <f t="shared" si="39"/>
        <v/>
      </c>
      <c r="AD27" s="116" t="str">
        <f t="shared" si="36"/>
        <v/>
      </c>
      <c r="AE27" s="117" t="str">
        <f t="shared" si="40"/>
        <v/>
      </c>
      <c r="AF27" s="118" t="str">
        <f t="shared" si="37"/>
        <v/>
      </c>
      <c r="AG27" s="119"/>
      <c r="AH27" s="108"/>
      <c r="AI27" s="109"/>
      <c r="AJ27" s="110"/>
      <c r="AK27" s="110"/>
      <c r="AL27" s="108"/>
      <c r="AM27" s="109"/>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row>
    <row r="28" spans="1:71" ht="26.25" customHeight="1" x14ac:dyDescent="0.25">
      <c r="A28" s="395">
        <v>6</v>
      </c>
      <c r="B28" s="416"/>
      <c r="C28" s="416"/>
      <c r="D28" s="464"/>
      <c r="E28" s="137"/>
      <c r="F28" s="406"/>
      <c r="G28" s="386"/>
      <c r="H28" s="138"/>
      <c r="I28" s="407"/>
      <c r="J28" s="409"/>
      <c r="K28" s="411" t="str">
        <f t="shared" ref="K28" si="42">IF(J28&lt;=0,"",IF(J28&lt;=2,"Muy Baja",IF(J28&lt;=24,"Baja",IF(J28&lt;=500,"Media",IF(J28&lt;=5000,"Alta","Muy Alta")))))</f>
        <v/>
      </c>
      <c r="L28" s="429" t="str">
        <f t="shared" ref="L28" si="43">IF(K28="","",IF(K28="Muy Baja",0.2,IF(K28="Baja",0.4,IF(K28="Media",0.6,IF(K28="Alta",0.8,IF(K28="Muy Alta",1,))))))</f>
        <v/>
      </c>
      <c r="M28" s="461"/>
      <c r="N28" s="429">
        <f>IF(NOT(ISERROR(MATCH(M28,'Tabla Impacto'!$B$221:$B$223,0))),'Tabla Impacto'!$F$223&amp;"Por favor no seleccionar los criterios de impacto(Afectación Económica o presupuestal y Pérdida Reputacional)",M28)</f>
        <v>0</v>
      </c>
      <c r="O28" s="411" t="str">
        <f>IF(OR(N28='Tabla Impacto'!$C$11,N28='Tabla Impacto'!$D$11),"Leve",IF(OR(N28='Tabla Impacto'!$C$12,N28='Tabla Impacto'!$D$12),"Menor",IF(OR(N28='Tabla Impacto'!$C$13,N28='Tabla Impacto'!$D$13),"Moderado",IF(OR(N28='Tabla Impacto'!$C$14,N28='Tabla Impacto'!$D$14),"Mayor",IF(OR(N28='Tabla Impacto'!$C$15,N28='Tabla Impacto'!$D$15),"Catastrófico","")))))</f>
        <v/>
      </c>
      <c r="P28" s="429" t="str">
        <f t="shared" ref="P28" si="44">IF(O28="","",IF(O28="Leve",0.2,IF(O28="Menor",0.4,IF(O28="Moderado",0.6,IF(O28="Mayor",0.8,IF(O28="Catastrófico",1,))))))</f>
        <v/>
      </c>
      <c r="Q28" s="431" t="str">
        <f t="shared" ref="Q28" si="45">IF(OR(AND(K28="Muy Baja",O28="Leve"),AND(K28="Muy Baja",O28="Menor"),AND(K28="Baja",O28="Leve")),"Bajo",IF(OR(AND(K28="Muy baja",O28="Moderado"),AND(K28="Baja",O28="Menor"),AND(K28="Baja",O28="Moderado"),AND(K28="Media",O28="Leve"),AND(K28="Media",O28="Menor"),AND(K28="Media",O28="Moderado"),AND(K28="Alta",O28="Leve"),AND(K28="Alta",O28="Menor")),"Moderado",IF(OR(AND(K28="Muy Baja",O28="Mayor"),AND(K28="Baja",O28="Mayor"),AND(K28="Media",O28="Mayor"),AND(K28="Alta",O28="Moderado"),AND(K28="Alta",O28="Mayor"),AND(K28="Muy Alta",O28="Leve"),AND(K28="Muy Alta",O28="Menor"),AND(K28="Muy Alta",O28="Moderado"),AND(K28="Muy Alta",O28="Mayor")),"Alto",IF(OR(AND(K28="Muy Baja",O28="Catastrófico"),AND(K28="Baja",O28="Catastrófico"),AND(K28="Media",O28="Catastrófico"),AND(K28="Alta",O28="Catastrófico"),AND(K28="Muy Alta",O28="Catastrófico")),"Extremo",""))))</f>
        <v/>
      </c>
      <c r="R28" s="105">
        <v>1</v>
      </c>
      <c r="S28" s="226"/>
      <c r="T28" s="106" t="str">
        <f>IF(OR(U28="Preventivo",U28="Detectivo"),"Probabilidad",IF(U28="Correctivo","Impacto",""))</f>
        <v/>
      </c>
      <c r="U28" s="111"/>
      <c r="V28" s="111"/>
      <c r="W28" s="112" t="str">
        <f>IF(AND(U28="Preventivo",V28="Automático"),"50%",IF(AND(U28="Preventivo",V28="Manual"),"40%",IF(AND(U28="Detectivo",V28="Automático"),"40%",IF(AND(U28="Detectivo",V28="Manual"),"30%",IF(AND(U28="Correctivo",V28="Automático"),"35%",IF(AND(U28="Correctivo",V28="Manual"),"25%",""))))))</f>
        <v/>
      </c>
      <c r="X28" s="111"/>
      <c r="Y28" s="111"/>
      <c r="Z28" s="111"/>
      <c r="AA28" s="107" t="str">
        <f>IFERROR(IF(T28="Probabilidad",(L28-(+L28*W28)),IF(T28="Impacto",L28,"")),"")</f>
        <v/>
      </c>
      <c r="AB28" s="116" t="str">
        <f>IFERROR(IF(AA28="","",IF(AA28&lt;=0.2,"Muy Baja",IF(AA28&lt;=0.4,"Baja",IF(AA28&lt;=0.6,"Media",IF(AA28&lt;=0.8,"Alta","Muy Alta"))))),"")</f>
        <v/>
      </c>
      <c r="AC28" s="117" t="str">
        <f>+AA28</f>
        <v/>
      </c>
      <c r="AD28" s="116" t="str">
        <f>IFERROR(IF(AE28="","",IF(AE28&lt;=0.2,"Leve",IF(AE28&lt;=0.4,"Menor",IF(AE28&lt;=0.6,"Moderado",IF(AE28&lt;=0.8,"Mayor","Catastrófico"))))),"")</f>
        <v/>
      </c>
      <c r="AE28" s="117" t="str">
        <f>IFERROR(IF(T28="Impacto",(P28-(+P28*W28)),IF(T28="Probabilidad",P28,"")),"")</f>
        <v/>
      </c>
      <c r="AF28" s="118" t="str">
        <f>IFERROR(IF(OR(AND(AB28="Muy Baja",AD28="Leve"),AND(AB28="Muy Baja",AD28="Menor"),AND(AB28="Baja",AD28="Leve")),"Bajo",IF(OR(AND(AB28="Muy baja",AD28="Moderado"),AND(AB28="Baja",AD28="Menor"),AND(AB28="Baja",AD28="Moderado"),AND(AB28="Media",AD28="Leve"),AND(AB28="Media",AD28="Menor"),AND(AB28="Media",AD28="Moderado"),AND(AB28="Alta",AD28="Leve"),AND(AB28="Alta",AD28="Menor")),"Moderado",IF(OR(AND(AB28="Muy Baja",AD28="Mayor"),AND(AB28="Baja",AD28="Mayor"),AND(AB28="Media",AD28="Mayor"),AND(AB28="Alta",AD28="Moderado"),AND(AB28="Alta",AD28="Mayor"),AND(AB28="Muy Alta",AD28="Leve"),AND(AB28="Muy Alta",AD28="Menor"),AND(AB28="Muy Alta",AD28="Moderado"),AND(AB28="Muy Alta",AD28="Mayor")),"Alto",IF(OR(AND(AB28="Muy Baja",AD28="Catastrófico"),AND(AB28="Baja",AD28="Catastrófico"),AND(AB28="Media",AD28="Catastrófico"),AND(AB28="Alta",AD28="Catastrófico"),AND(AB28="Muy Alta",AD28="Catastrófico")),"Extremo","")))),"")</f>
        <v/>
      </c>
      <c r="AG28" s="119"/>
      <c r="AH28" s="108"/>
      <c r="AI28" s="109"/>
      <c r="AJ28" s="110"/>
      <c r="AK28" s="110"/>
      <c r="AL28" s="108"/>
      <c r="AM28" s="109"/>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row>
    <row r="29" spans="1:71" ht="26.25" customHeight="1" x14ac:dyDescent="0.25">
      <c r="A29" s="396"/>
      <c r="B29" s="417"/>
      <c r="C29" s="417"/>
      <c r="D29" s="465"/>
      <c r="E29" s="137"/>
      <c r="F29" s="406"/>
      <c r="G29" s="387"/>
      <c r="H29" s="138"/>
      <c r="I29" s="408"/>
      <c r="J29" s="410"/>
      <c r="K29" s="412"/>
      <c r="L29" s="430"/>
      <c r="M29" s="462"/>
      <c r="N29" s="430">
        <f>IF(NOT(ISERROR(MATCH(M29,_xlfn.ANCHORARRAY(F40),0))),L42&amp;"Por favor no seleccionar los criterios de impacto",M29)</f>
        <v>0</v>
      </c>
      <c r="O29" s="412"/>
      <c r="P29" s="430"/>
      <c r="Q29" s="432"/>
      <c r="R29" s="105">
        <v>2</v>
      </c>
      <c r="S29" s="226"/>
      <c r="T29" s="106" t="str">
        <f>IF(OR(U29="Preventivo",U29="Detectivo"),"Probabilidad",IF(U29="Correctivo","Impacto",""))</f>
        <v/>
      </c>
      <c r="U29" s="111"/>
      <c r="V29" s="111"/>
      <c r="W29" s="112" t="str">
        <f t="shared" ref="W29:W33" si="46">IF(AND(U29="Preventivo",V29="Automático"),"50%",IF(AND(U29="Preventivo",V29="Manual"),"40%",IF(AND(U29="Detectivo",V29="Automático"),"40%",IF(AND(U29="Detectivo",V29="Manual"),"30%",IF(AND(U29="Correctivo",V29="Automático"),"35%",IF(AND(U29="Correctivo",V29="Manual"),"25%",""))))))</f>
        <v/>
      </c>
      <c r="X29" s="111"/>
      <c r="Y29" s="111"/>
      <c r="Z29" s="111"/>
      <c r="AA29" s="107" t="str">
        <f>IFERROR(IF(AND(T28="Probabilidad",T29="Probabilidad"),(AC28-(+AC28*W29)),IF(AND(T28="Impacto",T29="Probabilidad"),(L28-(+L28*W29)),IF(T29="Impacto",AC28,""))),"")</f>
        <v/>
      </c>
      <c r="AB29" s="116" t="str">
        <f t="shared" ref="AB29:AB33" si="47">IFERROR(IF(AA29="","",IF(AA29&lt;=0.2,"Muy Baja",IF(AA29&lt;=0.4,"Baja",IF(AA29&lt;=0.6,"Media",IF(AA29&lt;=0.8,"Alta","Muy Alta"))))),"")</f>
        <v/>
      </c>
      <c r="AC29" s="117" t="str">
        <f>+AA29</f>
        <v/>
      </c>
      <c r="AD29" s="116" t="str">
        <f t="shared" ref="AD29:AD33" si="48">IFERROR(IF(AE29="","",IF(AE29&lt;=0.2,"Leve",IF(AE29&lt;=0.4,"Menor",IF(AE29&lt;=0.6,"Moderado",IF(AE29&lt;=0.8,"Mayor","Catastrófico"))))),"")</f>
        <v/>
      </c>
      <c r="AE29" s="117" t="str">
        <f>IFERROR(IF(AND(T28="Impacto",T29="Impacto"),(AE28-(+AE28*W29)),IF(AND(T28="Probabilidad",T29="Impacto"),(P28-(+P28*W29)),IF(T29="Probabilidad",AE28,""))),"")</f>
        <v/>
      </c>
      <c r="AF29" s="118" t="str">
        <f t="shared" ref="AF29:AF33" si="49">IFERROR(IF(OR(AND(AB29="Muy Baja",AD29="Leve"),AND(AB29="Muy Baja",AD29="Menor"),AND(AB29="Baja",AD29="Leve")),"Bajo",IF(OR(AND(AB29="Muy baja",AD29="Moderado"),AND(AB29="Baja",AD29="Menor"),AND(AB29="Baja",AD29="Moderado"),AND(AB29="Media",AD29="Leve"),AND(AB29="Media",AD29="Menor"),AND(AB29="Media",AD29="Moderado"),AND(AB29="Alta",AD29="Leve"),AND(AB29="Alta",AD29="Menor")),"Moderado",IF(OR(AND(AB29="Muy Baja",AD29="Mayor"),AND(AB29="Baja",AD29="Mayor"),AND(AB29="Media",AD29="Mayor"),AND(AB29="Alta",AD29="Moderado"),AND(AB29="Alta",AD29="Mayor"),AND(AB29="Muy Alta",AD29="Leve"),AND(AB29="Muy Alta",AD29="Menor"),AND(AB29="Muy Alta",AD29="Moderado"),AND(AB29="Muy Alta",AD29="Mayor")),"Alto",IF(OR(AND(AB29="Muy Baja",AD29="Catastrófico"),AND(AB29="Baja",AD29="Catastrófico"),AND(AB29="Media",AD29="Catastrófico"),AND(AB29="Alta",AD29="Catastrófico"),AND(AB29="Muy Alta",AD29="Catastrófico")),"Extremo","")))),"")</f>
        <v/>
      </c>
      <c r="AG29" s="119"/>
      <c r="AH29" s="108"/>
      <c r="AI29" s="109"/>
      <c r="AJ29" s="110"/>
      <c r="AK29" s="110"/>
      <c r="AL29" s="108"/>
      <c r="AM29" s="109"/>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row>
    <row r="30" spans="1:71" ht="26.25" customHeight="1" x14ac:dyDescent="0.25">
      <c r="A30" s="396"/>
      <c r="B30" s="417"/>
      <c r="C30" s="417"/>
      <c r="D30" s="465"/>
      <c r="E30" s="137"/>
      <c r="F30" s="406"/>
      <c r="G30" s="387"/>
      <c r="H30" s="138"/>
      <c r="I30" s="408"/>
      <c r="J30" s="410"/>
      <c r="K30" s="412"/>
      <c r="L30" s="430"/>
      <c r="M30" s="462"/>
      <c r="N30" s="430">
        <f>IF(NOT(ISERROR(MATCH(M30,_xlfn.ANCHORARRAY(F41),0))),L43&amp;"Por favor no seleccionar los criterios de impacto",M30)</f>
        <v>0</v>
      </c>
      <c r="O30" s="412"/>
      <c r="P30" s="430"/>
      <c r="Q30" s="432"/>
      <c r="R30" s="105">
        <v>3</v>
      </c>
      <c r="S30" s="228"/>
      <c r="T30" s="106" t="str">
        <f t="shared" ref="T30:T33" si="50">IF(OR(U30="Preventivo",U30="Detectivo"),"Probabilidad",IF(U30="Correctivo","Impacto",""))</f>
        <v/>
      </c>
      <c r="U30" s="111"/>
      <c r="V30" s="111"/>
      <c r="W30" s="112" t="str">
        <f t="shared" si="46"/>
        <v/>
      </c>
      <c r="X30" s="111"/>
      <c r="Y30" s="111"/>
      <c r="Z30" s="111"/>
      <c r="AA30" s="107" t="str">
        <f>IFERROR(IF(AND(T29="Probabilidad",T30="Probabilidad"),(AC29-(+AC29*W30)),IF(AND(T29="Impacto",T30="Probabilidad"),(AC28-(+AC28*W30)),IF(T30="Impacto",AC29,""))),"")</f>
        <v/>
      </c>
      <c r="AB30" s="116" t="str">
        <f t="shared" si="47"/>
        <v/>
      </c>
      <c r="AC30" s="117" t="str">
        <f t="shared" ref="AC30:AC33" si="51">+AA30</f>
        <v/>
      </c>
      <c r="AD30" s="116" t="str">
        <f t="shared" si="48"/>
        <v/>
      </c>
      <c r="AE30" s="117" t="str">
        <f t="shared" ref="AE30:AE33" si="52">IFERROR(IF(AND(T29="Impacto",T30="Impacto"),(AE29-(+AE29*W30)),IF(AND(T29="Probabilidad",T30="Impacto"),(AE28-(+AE28*W30)),IF(T30="Probabilidad",AE29,""))),"")</f>
        <v/>
      </c>
      <c r="AF30" s="118" t="str">
        <f t="shared" si="49"/>
        <v/>
      </c>
      <c r="AG30" s="119"/>
      <c r="AH30" s="108"/>
      <c r="AI30" s="109"/>
      <c r="AJ30" s="110"/>
      <c r="AK30" s="110"/>
      <c r="AL30" s="108"/>
      <c r="AM30" s="109"/>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row>
    <row r="31" spans="1:71" ht="26.25" customHeight="1" x14ac:dyDescent="0.25">
      <c r="A31" s="396"/>
      <c r="B31" s="417"/>
      <c r="C31" s="417"/>
      <c r="D31" s="465"/>
      <c r="E31" s="137"/>
      <c r="F31" s="406"/>
      <c r="G31" s="387"/>
      <c r="H31" s="138"/>
      <c r="I31" s="408"/>
      <c r="J31" s="410"/>
      <c r="K31" s="412"/>
      <c r="L31" s="430"/>
      <c r="M31" s="462"/>
      <c r="N31" s="430">
        <f>IF(NOT(ISERROR(MATCH(M31,_xlfn.ANCHORARRAY(F42),0))),L44&amp;"Por favor no seleccionar los criterios de impacto",M31)</f>
        <v>0</v>
      </c>
      <c r="O31" s="412"/>
      <c r="P31" s="430"/>
      <c r="Q31" s="432"/>
      <c r="R31" s="105">
        <v>4</v>
      </c>
      <c r="S31" s="226"/>
      <c r="T31" s="106" t="str">
        <f t="shared" si="50"/>
        <v/>
      </c>
      <c r="U31" s="111"/>
      <c r="V31" s="111"/>
      <c r="W31" s="112" t="str">
        <f t="shared" si="46"/>
        <v/>
      </c>
      <c r="X31" s="111"/>
      <c r="Y31" s="111"/>
      <c r="Z31" s="111"/>
      <c r="AA31" s="107" t="str">
        <f t="shared" ref="AA31:AA33" si="53">IFERROR(IF(AND(T30="Probabilidad",T31="Probabilidad"),(AC30-(+AC30*W31)),IF(AND(T30="Impacto",T31="Probabilidad"),(AC29-(+AC29*W31)),IF(T31="Impacto",AC30,""))),"")</f>
        <v/>
      </c>
      <c r="AB31" s="116" t="str">
        <f t="shared" si="47"/>
        <v/>
      </c>
      <c r="AC31" s="117" t="str">
        <f t="shared" si="51"/>
        <v/>
      </c>
      <c r="AD31" s="116" t="str">
        <f t="shared" si="48"/>
        <v/>
      </c>
      <c r="AE31" s="117" t="str">
        <f t="shared" si="52"/>
        <v/>
      </c>
      <c r="AF31" s="118" t="str">
        <f t="shared" si="49"/>
        <v/>
      </c>
      <c r="AG31" s="119"/>
      <c r="AH31" s="108"/>
      <c r="AI31" s="109"/>
      <c r="AJ31" s="110"/>
      <c r="AK31" s="110"/>
      <c r="AL31" s="108"/>
      <c r="AM31" s="109"/>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row>
    <row r="32" spans="1:71" ht="26.25" customHeight="1" x14ac:dyDescent="0.25">
      <c r="A32" s="396"/>
      <c r="B32" s="417"/>
      <c r="C32" s="417"/>
      <c r="D32" s="465"/>
      <c r="E32" s="137"/>
      <c r="F32" s="406"/>
      <c r="G32" s="387"/>
      <c r="H32" s="138"/>
      <c r="I32" s="408"/>
      <c r="J32" s="410"/>
      <c r="K32" s="412"/>
      <c r="L32" s="430"/>
      <c r="M32" s="462"/>
      <c r="N32" s="430">
        <f>IF(NOT(ISERROR(MATCH(M32,_xlfn.ANCHORARRAY(F43),0))),L45&amp;"Por favor no seleccionar los criterios de impacto",M32)</f>
        <v>0</v>
      </c>
      <c r="O32" s="412"/>
      <c r="P32" s="430"/>
      <c r="Q32" s="432"/>
      <c r="R32" s="105">
        <v>5</v>
      </c>
      <c r="S32" s="226"/>
      <c r="T32" s="106" t="str">
        <f t="shared" si="50"/>
        <v/>
      </c>
      <c r="U32" s="111"/>
      <c r="V32" s="111"/>
      <c r="W32" s="112" t="str">
        <f t="shared" si="46"/>
        <v/>
      </c>
      <c r="X32" s="111"/>
      <c r="Y32" s="111"/>
      <c r="Z32" s="111"/>
      <c r="AA32" s="107" t="str">
        <f t="shared" si="53"/>
        <v/>
      </c>
      <c r="AB32" s="116" t="str">
        <f t="shared" si="47"/>
        <v/>
      </c>
      <c r="AC32" s="117" t="str">
        <f t="shared" si="51"/>
        <v/>
      </c>
      <c r="AD32" s="116" t="str">
        <f t="shared" si="48"/>
        <v/>
      </c>
      <c r="AE32" s="117" t="str">
        <f t="shared" si="52"/>
        <v/>
      </c>
      <c r="AF32" s="118" t="str">
        <f t="shared" si="49"/>
        <v/>
      </c>
      <c r="AG32" s="119"/>
      <c r="AH32" s="108"/>
      <c r="AI32" s="109"/>
      <c r="AJ32" s="110"/>
      <c r="AK32" s="110"/>
      <c r="AL32" s="108"/>
      <c r="AM32" s="109"/>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row>
    <row r="33" spans="1:71" ht="26.25" customHeight="1" x14ac:dyDescent="0.25">
      <c r="A33" s="463"/>
      <c r="B33" s="418"/>
      <c r="C33" s="418"/>
      <c r="D33" s="466"/>
      <c r="E33" s="137"/>
      <c r="F33" s="406"/>
      <c r="G33" s="388"/>
      <c r="H33" s="138"/>
      <c r="I33" s="467"/>
      <c r="J33" s="419"/>
      <c r="K33" s="420"/>
      <c r="L33" s="468"/>
      <c r="M33" s="469"/>
      <c r="N33" s="468">
        <f>IF(NOT(ISERROR(MATCH(M33,_xlfn.ANCHORARRAY(F44),0))),L46&amp;"Por favor no seleccionar los criterios de impacto",M33)</f>
        <v>0</v>
      </c>
      <c r="O33" s="420"/>
      <c r="P33" s="468"/>
      <c r="Q33" s="470"/>
      <c r="R33" s="105">
        <v>6</v>
      </c>
      <c r="S33" s="226"/>
      <c r="T33" s="106" t="str">
        <f t="shared" si="50"/>
        <v/>
      </c>
      <c r="U33" s="111"/>
      <c r="V33" s="111"/>
      <c r="W33" s="112" t="str">
        <f t="shared" si="46"/>
        <v/>
      </c>
      <c r="X33" s="111"/>
      <c r="Y33" s="111"/>
      <c r="Z33" s="111"/>
      <c r="AA33" s="107" t="str">
        <f t="shared" si="53"/>
        <v/>
      </c>
      <c r="AB33" s="116" t="str">
        <f t="shared" si="47"/>
        <v/>
      </c>
      <c r="AC33" s="117" t="str">
        <f t="shared" si="51"/>
        <v/>
      </c>
      <c r="AD33" s="116" t="str">
        <f t="shared" si="48"/>
        <v/>
      </c>
      <c r="AE33" s="117" t="str">
        <f t="shared" si="52"/>
        <v/>
      </c>
      <c r="AF33" s="118" t="str">
        <f t="shared" si="49"/>
        <v/>
      </c>
      <c r="AG33" s="119"/>
      <c r="AH33" s="108"/>
      <c r="AI33" s="109"/>
      <c r="AJ33" s="110"/>
      <c r="AK33" s="110"/>
      <c r="AL33" s="108"/>
      <c r="AM33" s="109"/>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row>
    <row r="34" spans="1:71" ht="26.25" customHeight="1" x14ac:dyDescent="0.25">
      <c r="A34" s="395">
        <v>7</v>
      </c>
      <c r="B34" s="416"/>
      <c r="C34" s="416"/>
      <c r="D34" s="416"/>
      <c r="E34" s="121"/>
      <c r="F34" s="414"/>
      <c r="G34" s="386"/>
      <c r="H34" s="124"/>
      <c r="I34" s="416"/>
      <c r="J34" s="409"/>
      <c r="K34" s="411" t="str">
        <f t="shared" ref="K34" si="54">IF(J34&lt;=0,"",IF(J34&lt;=2,"Muy Baja",IF(J34&lt;=24,"Baja",IF(J34&lt;=500,"Media",IF(J34&lt;=5000,"Alta","Muy Alta")))))</f>
        <v/>
      </c>
      <c r="L34" s="429" t="str">
        <f t="shared" ref="L34" si="55">IF(K34="","",IF(K34="Muy Baja",0.2,IF(K34="Baja",0.4,IF(K34="Media",0.6,IF(K34="Alta",0.8,IF(K34="Muy Alta",1,))))))</f>
        <v/>
      </c>
      <c r="M34" s="461"/>
      <c r="N34" s="429">
        <f>IF(NOT(ISERROR(MATCH(M34,'Tabla Impacto'!$B$221:$B$223,0))),'Tabla Impacto'!$F$223&amp;"Por favor no seleccionar los criterios de impacto(Afectación Económica o presupuestal y Pérdida Reputacional)",M34)</f>
        <v>0</v>
      </c>
      <c r="O34" s="411" t="str">
        <f>IF(OR(N34='Tabla Impacto'!$C$11,N34='Tabla Impacto'!$D$11),"Leve",IF(OR(N34='Tabla Impacto'!$C$12,N34='Tabla Impacto'!$D$12),"Menor",IF(OR(N34='Tabla Impacto'!$C$13,N34='Tabla Impacto'!$D$13),"Moderado",IF(OR(N34='Tabla Impacto'!$C$14,N34='Tabla Impacto'!$D$14),"Mayor",IF(OR(N34='Tabla Impacto'!$C$15,N34='Tabla Impacto'!$D$15),"Catastrófico","")))))</f>
        <v/>
      </c>
      <c r="P34" s="429" t="str">
        <f t="shared" ref="P34" si="56">IF(O34="","",IF(O34="Leve",0.2,IF(O34="Menor",0.4,IF(O34="Moderado",0.6,IF(O34="Mayor",0.8,IF(O34="Catastrófico",1,))))))</f>
        <v/>
      </c>
      <c r="Q34" s="431" t="str">
        <f t="shared" ref="Q34" si="57">IF(OR(AND(K34="Muy Baja",O34="Leve"),AND(K34="Muy Baja",O34="Menor"),AND(K34="Baja",O34="Leve")),"Bajo",IF(OR(AND(K34="Muy baja",O34="Moderado"),AND(K34="Baja",O34="Menor"),AND(K34="Baja",O34="Moderado"),AND(K34="Media",O34="Leve"),AND(K34="Media",O34="Menor"),AND(K34="Media",O34="Moderado"),AND(K34="Alta",O34="Leve"),AND(K34="Alta",O34="Menor")),"Moderado",IF(OR(AND(K34="Muy Baja",O34="Mayor"),AND(K34="Baja",O34="Mayor"),AND(K34="Media",O34="Mayor"),AND(K34="Alta",O34="Moderado"),AND(K34="Alta",O34="Mayor"),AND(K34="Muy Alta",O34="Leve"),AND(K34="Muy Alta",O34="Menor"),AND(K34="Muy Alta",O34="Moderado"),AND(K34="Muy Alta",O34="Mayor")),"Alto",IF(OR(AND(K34="Muy Baja",O34="Catastrófico"),AND(K34="Baja",O34="Catastrófico"),AND(K34="Media",O34="Catastrófico"),AND(K34="Alta",O34="Catastrófico"),AND(K34="Muy Alta",O34="Catastrófico")),"Extremo",""))))</f>
        <v/>
      </c>
      <c r="R34" s="105">
        <v>1</v>
      </c>
      <c r="S34" s="226"/>
      <c r="T34" s="106" t="str">
        <f>IF(OR(U34="Preventivo",U34="Detectivo"),"Probabilidad",IF(U34="Correctivo","Impacto",""))</f>
        <v/>
      </c>
      <c r="U34" s="111"/>
      <c r="V34" s="111"/>
      <c r="W34" s="112" t="str">
        <f>IF(AND(U34="Preventivo",V34="Automático"),"50%",IF(AND(U34="Preventivo",V34="Manual"),"40%",IF(AND(U34="Detectivo",V34="Automático"),"40%",IF(AND(U34="Detectivo",V34="Manual"),"30%",IF(AND(U34="Correctivo",V34="Automático"),"35%",IF(AND(U34="Correctivo",V34="Manual"),"25%",""))))))</f>
        <v/>
      </c>
      <c r="X34" s="111"/>
      <c r="Y34" s="111"/>
      <c r="Z34" s="111"/>
      <c r="AA34" s="107" t="str">
        <f>IFERROR(IF(T34="Probabilidad",(L34-(+L34*W34)),IF(T34="Impacto",L34,"")),"")</f>
        <v/>
      </c>
      <c r="AB34" s="116" t="str">
        <f>IFERROR(IF(AA34="","",IF(AA34&lt;=0.2,"Muy Baja",IF(AA34&lt;=0.4,"Baja",IF(AA34&lt;=0.6,"Media",IF(AA34&lt;=0.8,"Alta","Muy Alta"))))),"")</f>
        <v/>
      </c>
      <c r="AC34" s="117" t="str">
        <f>+AA34</f>
        <v/>
      </c>
      <c r="AD34" s="116" t="str">
        <f>IFERROR(IF(AE34="","",IF(AE34&lt;=0.2,"Leve",IF(AE34&lt;=0.4,"Menor",IF(AE34&lt;=0.6,"Moderado",IF(AE34&lt;=0.8,"Mayor","Catastrófico"))))),"")</f>
        <v/>
      </c>
      <c r="AE34" s="117" t="str">
        <f>IFERROR(IF(T34="Impacto",(P34-(+P34*W34)),IF(T34="Probabilidad",P34,"")),"")</f>
        <v/>
      </c>
      <c r="AF34" s="118" t="str">
        <f>IFERROR(IF(OR(AND(AB34="Muy Baja",AD34="Leve"),AND(AB34="Muy Baja",AD34="Menor"),AND(AB34="Baja",AD34="Leve")),"Bajo",IF(OR(AND(AB34="Muy baja",AD34="Moderado"),AND(AB34="Baja",AD34="Menor"),AND(AB34="Baja",AD34="Moderado"),AND(AB34="Media",AD34="Leve"),AND(AB34="Media",AD34="Menor"),AND(AB34="Media",AD34="Moderado"),AND(AB34="Alta",AD34="Leve"),AND(AB34="Alta",AD34="Menor")),"Moderado",IF(OR(AND(AB34="Muy Baja",AD34="Mayor"),AND(AB34="Baja",AD34="Mayor"),AND(AB34="Media",AD34="Mayor"),AND(AB34="Alta",AD34="Moderado"),AND(AB34="Alta",AD34="Mayor"),AND(AB34="Muy Alta",AD34="Leve"),AND(AB34="Muy Alta",AD34="Menor"),AND(AB34="Muy Alta",AD34="Moderado"),AND(AB34="Muy Alta",AD34="Mayor")),"Alto",IF(OR(AND(AB34="Muy Baja",AD34="Catastrófico"),AND(AB34="Baja",AD34="Catastrófico"),AND(AB34="Media",AD34="Catastrófico"),AND(AB34="Alta",AD34="Catastrófico"),AND(AB34="Muy Alta",AD34="Catastrófico")),"Extremo","")))),"")</f>
        <v/>
      </c>
      <c r="AG34" s="119"/>
      <c r="AH34" s="108"/>
      <c r="AI34" s="109"/>
      <c r="AJ34" s="110"/>
      <c r="AK34" s="110"/>
      <c r="AL34" s="108"/>
      <c r="AM34" s="109"/>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row>
    <row r="35" spans="1:71" ht="26.25" customHeight="1" x14ac:dyDescent="0.25">
      <c r="A35" s="396"/>
      <c r="B35" s="417"/>
      <c r="C35" s="417"/>
      <c r="D35" s="417"/>
      <c r="E35" s="121"/>
      <c r="F35" s="414"/>
      <c r="G35" s="387"/>
      <c r="H35" s="124"/>
      <c r="I35" s="417"/>
      <c r="J35" s="410"/>
      <c r="K35" s="412"/>
      <c r="L35" s="430"/>
      <c r="M35" s="462"/>
      <c r="N35" s="430">
        <f>IF(NOT(ISERROR(MATCH(M35,_xlfn.ANCHORARRAY(F46),0))),L48&amp;"Por favor no seleccionar los criterios de impacto",M35)</f>
        <v>0</v>
      </c>
      <c r="O35" s="412"/>
      <c r="P35" s="430"/>
      <c r="Q35" s="432"/>
      <c r="R35" s="105">
        <v>2</v>
      </c>
      <c r="S35" s="226"/>
      <c r="T35" s="106" t="str">
        <f>IF(OR(U35="Preventivo",U35="Detectivo"),"Probabilidad",IF(U35="Correctivo","Impacto",""))</f>
        <v/>
      </c>
      <c r="U35" s="111"/>
      <c r="V35" s="111"/>
      <c r="W35" s="112" t="str">
        <f t="shared" ref="W35:W39" si="58">IF(AND(U35="Preventivo",V35="Automático"),"50%",IF(AND(U35="Preventivo",V35="Manual"),"40%",IF(AND(U35="Detectivo",V35="Automático"),"40%",IF(AND(U35="Detectivo",V35="Manual"),"30%",IF(AND(U35="Correctivo",V35="Automático"),"35%",IF(AND(U35="Correctivo",V35="Manual"),"25%",""))))))</f>
        <v/>
      </c>
      <c r="X35" s="111"/>
      <c r="Y35" s="111"/>
      <c r="Z35" s="111"/>
      <c r="AA35" s="107" t="str">
        <f>IFERROR(IF(AND(T34="Probabilidad",T35="Probabilidad"),(AC34-(+AC34*W35)),IF(AND(T34="Impacto",T35="Probabilidad"),(L34-(+L34*W35)),IF(T35="Impacto",AC34,""))),"")</f>
        <v/>
      </c>
      <c r="AB35" s="116" t="str">
        <f t="shared" ref="AB35:AB39" si="59">IFERROR(IF(AA35="","",IF(AA35&lt;=0.2,"Muy Baja",IF(AA35&lt;=0.4,"Baja",IF(AA35&lt;=0.6,"Media",IF(AA35&lt;=0.8,"Alta","Muy Alta"))))),"")</f>
        <v/>
      </c>
      <c r="AC35" s="117" t="str">
        <f>+AA35</f>
        <v/>
      </c>
      <c r="AD35" s="116" t="str">
        <f t="shared" ref="AD35:AD39" si="60">IFERROR(IF(AE35="","",IF(AE35&lt;=0.2,"Leve",IF(AE35&lt;=0.4,"Menor",IF(AE35&lt;=0.6,"Moderado",IF(AE35&lt;=0.8,"Mayor","Catastrófico"))))),"")</f>
        <v/>
      </c>
      <c r="AE35" s="117" t="str">
        <f>IFERROR(IF(AND(T34="Impacto",T35="Impacto"),(AE34-(+AE34*W35)),IF(AND(T34="Probabilidad",T35="Impacto"),(P34-(+P34*W35)),IF(T35="Probabilidad",AE34,""))),"")</f>
        <v/>
      </c>
      <c r="AF35" s="118" t="str">
        <f t="shared" ref="AF35:AF39" si="61">IFERROR(IF(OR(AND(AB35="Muy Baja",AD35="Leve"),AND(AB35="Muy Baja",AD35="Menor"),AND(AB35="Baja",AD35="Leve")),"Bajo",IF(OR(AND(AB35="Muy baja",AD35="Moderado"),AND(AB35="Baja",AD35="Menor"),AND(AB35="Baja",AD35="Moderado"),AND(AB35="Media",AD35="Leve"),AND(AB35="Media",AD35="Menor"),AND(AB35="Media",AD35="Moderado"),AND(AB35="Alta",AD35="Leve"),AND(AB35="Alta",AD35="Menor")),"Moderado",IF(OR(AND(AB35="Muy Baja",AD35="Mayor"),AND(AB35="Baja",AD35="Mayor"),AND(AB35="Media",AD35="Mayor"),AND(AB35="Alta",AD35="Moderado"),AND(AB35="Alta",AD35="Mayor"),AND(AB35="Muy Alta",AD35="Leve"),AND(AB35="Muy Alta",AD35="Menor"),AND(AB35="Muy Alta",AD35="Moderado"),AND(AB35="Muy Alta",AD35="Mayor")),"Alto",IF(OR(AND(AB35="Muy Baja",AD35="Catastrófico"),AND(AB35="Baja",AD35="Catastrófico"),AND(AB35="Media",AD35="Catastrófico"),AND(AB35="Alta",AD35="Catastrófico"),AND(AB35="Muy Alta",AD35="Catastrófico")),"Extremo","")))),"")</f>
        <v/>
      </c>
      <c r="AG35" s="119"/>
      <c r="AH35" s="108"/>
      <c r="AI35" s="109"/>
      <c r="AJ35" s="110"/>
      <c r="AK35" s="110"/>
      <c r="AL35" s="108"/>
      <c r="AM35" s="109"/>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row>
    <row r="36" spans="1:71" ht="26.25" customHeight="1" x14ac:dyDescent="0.25">
      <c r="A36" s="396"/>
      <c r="B36" s="417"/>
      <c r="C36" s="417"/>
      <c r="D36" s="417"/>
      <c r="E36" s="121"/>
      <c r="F36" s="414"/>
      <c r="G36" s="387"/>
      <c r="H36" s="124"/>
      <c r="I36" s="417"/>
      <c r="J36" s="410"/>
      <c r="K36" s="412"/>
      <c r="L36" s="430"/>
      <c r="M36" s="462"/>
      <c r="N36" s="430">
        <f>IF(NOT(ISERROR(MATCH(M36,_xlfn.ANCHORARRAY(F47),0))),L49&amp;"Por favor no seleccionar los criterios de impacto",M36)</f>
        <v>0</v>
      </c>
      <c r="O36" s="412"/>
      <c r="P36" s="430"/>
      <c r="Q36" s="432"/>
      <c r="R36" s="105">
        <v>3</v>
      </c>
      <c r="S36" s="228"/>
      <c r="T36" s="106" t="str">
        <f t="shared" ref="T36:T39" si="62">IF(OR(U36="Preventivo",U36="Detectivo"),"Probabilidad",IF(U36="Correctivo","Impacto",""))</f>
        <v/>
      </c>
      <c r="U36" s="111"/>
      <c r="V36" s="111"/>
      <c r="W36" s="112" t="str">
        <f t="shared" si="58"/>
        <v/>
      </c>
      <c r="X36" s="111"/>
      <c r="Y36" s="111"/>
      <c r="Z36" s="111"/>
      <c r="AA36" s="107" t="str">
        <f>IFERROR(IF(AND(T35="Probabilidad",T36="Probabilidad"),(AC35-(+AC35*W36)),IF(AND(T35="Impacto",T36="Probabilidad"),(AC34-(+AC34*W36)),IF(T36="Impacto",AC35,""))),"")</f>
        <v/>
      </c>
      <c r="AB36" s="116" t="str">
        <f t="shared" si="59"/>
        <v/>
      </c>
      <c r="AC36" s="117" t="str">
        <f t="shared" ref="AC36:AC39" si="63">+AA36</f>
        <v/>
      </c>
      <c r="AD36" s="116" t="str">
        <f t="shared" si="60"/>
        <v/>
      </c>
      <c r="AE36" s="117" t="str">
        <f t="shared" ref="AE36:AE39" si="64">IFERROR(IF(AND(T35="Impacto",T36="Impacto"),(AE35-(+AE35*W36)),IF(AND(T35="Probabilidad",T36="Impacto"),(AE34-(+AE34*W36)),IF(T36="Probabilidad",AE35,""))),"")</f>
        <v/>
      </c>
      <c r="AF36" s="118" t="str">
        <f t="shared" si="61"/>
        <v/>
      </c>
      <c r="AG36" s="119"/>
      <c r="AH36" s="108"/>
      <c r="AI36" s="109"/>
      <c r="AJ36" s="110"/>
      <c r="AK36" s="110"/>
      <c r="AL36" s="108"/>
      <c r="AM36" s="109"/>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row>
    <row r="37" spans="1:71" ht="26.25" customHeight="1" x14ac:dyDescent="0.25">
      <c r="A37" s="396"/>
      <c r="B37" s="417"/>
      <c r="C37" s="417"/>
      <c r="D37" s="417"/>
      <c r="E37" s="121"/>
      <c r="F37" s="414"/>
      <c r="G37" s="387"/>
      <c r="H37" s="124"/>
      <c r="I37" s="417"/>
      <c r="J37" s="410"/>
      <c r="K37" s="412"/>
      <c r="L37" s="430"/>
      <c r="M37" s="462"/>
      <c r="N37" s="430">
        <f>IF(NOT(ISERROR(MATCH(M37,_xlfn.ANCHORARRAY(F48),0))),L50&amp;"Por favor no seleccionar los criterios de impacto",M37)</f>
        <v>0</v>
      </c>
      <c r="O37" s="412"/>
      <c r="P37" s="430"/>
      <c r="Q37" s="432"/>
      <c r="R37" s="105">
        <v>4</v>
      </c>
      <c r="S37" s="226"/>
      <c r="T37" s="106" t="str">
        <f t="shared" si="62"/>
        <v/>
      </c>
      <c r="U37" s="111"/>
      <c r="V37" s="111"/>
      <c r="W37" s="112" t="str">
        <f t="shared" si="58"/>
        <v/>
      </c>
      <c r="X37" s="111"/>
      <c r="Y37" s="111"/>
      <c r="Z37" s="111"/>
      <c r="AA37" s="107" t="str">
        <f t="shared" ref="AA37:AA39" si="65">IFERROR(IF(AND(T36="Probabilidad",T37="Probabilidad"),(AC36-(+AC36*W37)),IF(AND(T36="Impacto",T37="Probabilidad"),(AC35-(+AC35*W37)),IF(T37="Impacto",AC36,""))),"")</f>
        <v/>
      </c>
      <c r="AB37" s="116" t="str">
        <f t="shared" si="59"/>
        <v/>
      </c>
      <c r="AC37" s="117" t="str">
        <f t="shared" si="63"/>
        <v/>
      </c>
      <c r="AD37" s="116" t="str">
        <f t="shared" si="60"/>
        <v/>
      </c>
      <c r="AE37" s="117" t="str">
        <f t="shared" si="64"/>
        <v/>
      </c>
      <c r="AF37" s="118" t="str">
        <f t="shared" si="61"/>
        <v/>
      </c>
      <c r="AG37" s="119"/>
      <c r="AH37" s="108"/>
      <c r="AI37" s="109"/>
      <c r="AJ37" s="110"/>
      <c r="AK37" s="110"/>
      <c r="AL37" s="108"/>
      <c r="AM37" s="109"/>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row>
    <row r="38" spans="1:71" ht="26.25" customHeight="1" x14ac:dyDescent="0.25">
      <c r="A38" s="396"/>
      <c r="B38" s="417"/>
      <c r="C38" s="417"/>
      <c r="D38" s="417"/>
      <c r="E38" s="121"/>
      <c r="F38" s="414"/>
      <c r="G38" s="387"/>
      <c r="H38" s="124"/>
      <c r="I38" s="417"/>
      <c r="J38" s="410"/>
      <c r="K38" s="412"/>
      <c r="L38" s="430"/>
      <c r="M38" s="462"/>
      <c r="N38" s="430">
        <f>IF(NOT(ISERROR(MATCH(M38,_xlfn.ANCHORARRAY(F49),0))),L51&amp;"Por favor no seleccionar los criterios de impacto",M38)</f>
        <v>0</v>
      </c>
      <c r="O38" s="412"/>
      <c r="P38" s="430"/>
      <c r="Q38" s="432"/>
      <c r="R38" s="105">
        <v>5</v>
      </c>
      <c r="S38" s="226"/>
      <c r="T38" s="106" t="str">
        <f t="shared" si="62"/>
        <v/>
      </c>
      <c r="U38" s="111"/>
      <c r="V38" s="111"/>
      <c r="W38" s="112" t="str">
        <f t="shared" si="58"/>
        <v/>
      </c>
      <c r="X38" s="111"/>
      <c r="Y38" s="111"/>
      <c r="Z38" s="111"/>
      <c r="AA38" s="107" t="str">
        <f t="shared" si="65"/>
        <v/>
      </c>
      <c r="AB38" s="116" t="str">
        <f t="shared" si="59"/>
        <v/>
      </c>
      <c r="AC38" s="117" t="str">
        <f t="shared" si="63"/>
        <v/>
      </c>
      <c r="AD38" s="116" t="str">
        <f t="shared" si="60"/>
        <v/>
      </c>
      <c r="AE38" s="117" t="str">
        <f t="shared" si="64"/>
        <v/>
      </c>
      <c r="AF38" s="118" t="str">
        <f t="shared" si="61"/>
        <v/>
      </c>
      <c r="AG38" s="119"/>
      <c r="AH38" s="108"/>
      <c r="AI38" s="109"/>
      <c r="AJ38" s="110"/>
      <c r="AK38" s="110"/>
      <c r="AL38" s="108"/>
      <c r="AM38" s="109"/>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row>
    <row r="39" spans="1:71" ht="26.25" customHeight="1" x14ac:dyDescent="0.25">
      <c r="A39" s="463"/>
      <c r="B39" s="418"/>
      <c r="C39" s="418"/>
      <c r="D39" s="418"/>
      <c r="E39" s="122"/>
      <c r="F39" s="415"/>
      <c r="G39" s="388"/>
      <c r="H39" s="125"/>
      <c r="I39" s="418"/>
      <c r="J39" s="419"/>
      <c r="K39" s="420"/>
      <c r="L39" s="468"/>
      <c r="M39" s="469"/>
      <c r="N39" s="468">
        <f>IF(NOT(ISERROR(MATCH(M39,_xlfn.ANCHORARRAY(F50),0))),L52&amp;"Por favor no seleccionar los criterios de impacto",M39)</f>
        <v>0</v>
      </c>
      <c r="O39" s="420"/>
      <c r="P39" s="468"/>
      <c r="Q39" s="470"/>
      <c r="R39" s="105">
        <v>6</v>
      </c>
      <c r="S39" s="226"/>
      <c r="T39" s="106" t="str">
        <f t="shared" si="62"/>
        <v/>
      </c>
      <c r="U39" s="111"/>
      <c r="V39" s="111"/>
      <c r="W39" s="112" t="str">
        <f t="shared" si="58"/>
        <v/>
      </c>
      <c r="X39" s="111"/>
      <c r="Y39" s="111"/>
      <c r="Z39" s="111"/>
      <c r="AA39" s="107" t="str">
        <f t="shared" si="65"/>
        <v/>
      </c>
      <c r="AB39" s="116" t="str">
        <f t="shared" si="59"/>
        <v/>
      </c>
      <c r="AC39" s="117" t="str">
        <f t="shared" si="63"/>
        <v/>
      </c>
      <c r="AD39" s="116" t="str">
        <f t="shared" si="60"/>
        <v/>
      </c>
      <c r="AE39" s="117" t="str">
        <f t="shared" si="64"/>
        <v/>
      </c>
      <c r="AF39" s="118" t="str">
        <f t="shared" si="61"/>
        <v/>
      </c>
      <c r="AG39" s="119"/>
      <c r="AH39" s="108"/>
      <c r="AI39" s="109"/>
      <c r="AJ39" s="110"/>
      <c r="AK39" s="110"/>
      <c r="AL39" s="108"/>
      <c r="AM39" s="109"/>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row>
    <row r="40" spans="1:71" ht="26.25" customHeight="1" x14ac:dyDescent="0.25">
      <c r="A40" s="395">
        <v>8</v>
      </c>
      <c r="B40" s="416"/>
      <c r="C40" s="416"/>
      <c r="D40" s="416"/>
      <c r="E40" s="120"/>
      <c r="F40" s="413"/>
      <c r="G40" s="386"/>
      <c r="H40" s="123"/>
      <c r="I40" s="416"/>
      <c r="J40" s="409"/>
      <c r="K40" s="411" t="str">
        <f t="shared" ref="K40" si="66">IF(J40&lt;=0,"",IF(J40&lt;=2,"Muy Baja",IF(J40&lt;=24,"Baja",IF(J40&lt;=500,"Media",IF(J40&lt;=5000,"Alta","Muy Alta")))))</f>
        <v/>
      </c>
      <c r="L40" s="429" t="str">
        <f t="shared" ref="L40" si="67">IF(K40="","",IF(K40="Muy Baja",0.2,IF(K40="Baja",0.4,IF(K40="Media",0.6,IF(K40="Alta",0.8,IF(K40="Muy Alta",1,))))))</f>
        <v/>
      </c>
      <c r="M40" s="461"/>
      <c r="N40" s="429">
        <f>IF(NOT(ISERROR(MATCH(M40,'Tabla Impacto'!$B$221:$B$223,0))),'Tabla Impacto'!$F$223&amp;"Por favor no seleccionar los criterios de impacto(Afectación Económica o presupuestal y Pérdida Reputacional)",M40)</f>
        <v>0</v>
      </c>
      <c r="O40" s="411" t="str">
        <f>IF(OR(N40='Tabla Impacto'!$C$11,N40='Tabla Impacto'!$D$11),"Leve",IF(OR(N40='Tabla Impacto'!$C$12,N40='Tabla Impacto'!$D$12),"Menor",IF(OR(N40='Tabla Impacto'!$C$13,N40='Tabla Impacto'!$D$13),"Moderado",IF(OR(N40='Tabla Impacto'!$C$14,N40='Tabla Impacto'!$D$14),"Mayor",IF(OR(N40='Tabla Impacto'!$C$15,N40='Tabla Impacto'!$D$15),"Catastrófico","")))))</f>
        <v/>
      </c>
      <c r="P40" s="429" t="str">
        <f t="shared" ref="P40" si="68">IF(O40="","",IF(O40="Leve",0.2,IF(O40="Menor",0.4,IF(O40="Moderado",0.6,IF(O40="Mayor",0.8,IF(O40="Catastrófico",1,))))))</f>
        <v/>
      </c>
      <c r="Q40" s="431" t="str">
        <f t="shared" ref="Q40" si="69">IF(OR(AND(K40="Muy Baja",O40="Leve"),AND(K40="Muy Baja",O40="Menor"),AND(K40="Baja",O40="Leve")),"Bajo",IF(OR(AND(K40="Muy baja",O40="Moderado"),AND(K40="Baja",O40="Menor"),AND(K40="Baja",O40="Moderado"),AND(K40="Media",O40="Leve"),AND(K40="Media",O40="Menor"),AND(K40="Media",O40="Moderado"),AND(K40="Alta",O40="Leve"),AND(K40="Alta",O40="Menor")),"Moderado",IF(OR(AND(K40="Muy Baja",O40="Mayor"),AND(K40="Baja",O40="Mayor"),AND(K40="Media",O40="Mayor"),AND(K40="Alta",O40="Moderado"),AND(K40="Alta",O40="Mayor"),AND(K40="Muy Alta",O40="Leve"),AND(K40="Muy Alta",O40="Menor"),AND(K40="Muy Alta",O40="Moderado"),AND(K40="Muy Alta",O40="Mayor")),"Alto",IF(OR(AND(K40="Muy Baja",O40="Catastrófico"),AND(K40="Baja",O40="Catastrófico"),AND(K40="Media",O40="Catastrófico"),AND(K40="Alta",O40="Catastrófico"),AND(K40="Muy Alta",O40="Catastrófico")),"Extremo",""))))</f>
        <v/>
      </c>
      <c r="R40" s="105">
        <v>1</v>
      </c>
      <c r="S40" s="226"/>
      <c r="T40" s="106" t="str">
        <f>IF(OR(U40="Preventivo",U40="Detectivo"),"Probabilidad",IF(U40="Correctivo","Impacto",""))</f>
        <v/>
      </c>
      <c r="U40" s="111"/>
      <c r="V40" s="111"/>
      <c r="W40" s="112" t="str">
        <f>IF(AND(U40="Preventivo",V40="Automático"),"50%",IF(AND(U40="Preventivo",V40="Manual"),"40%",IF(AND(U40="Detectivo",V40="Automático"),"40%",IF(AND(U40="Detectivo",V40="Manual"),"30%",IF(AND(U40="Correctivo",V40="Automático"),"35%",IF(AND(U40="Correctivo",V40="Manual"),"25%",""))))))</f>
        <v/>
      </c>
      <c r="X40" s="111"/>
      <c r="Y40" s="111"/>
      <c r="Z40" s="111"/>
      <c r="AA40" s="107" t="str">
        <f>IFERROR(IF(T40="Probabilidad",(L40-(+L40*W40)),IF(T40="Impacto",L40,"")),"")</f>
        <v/>
      </c>
      <c r="AB40" s="116" t="str">
        <f>IFERROR(IF(AA40="","",IF(AA40&lt;=0.2,"Muy Baja",IF(AA40&lt;=0.4,"Baja",IF(AA40&lt;=0.6,"Media",IF(AA40&lt;=0.8,"Alta","Muy Alta"))))),"")</f>
        <v/>
      </c>
      <c r="AC40" s="117" t="str">
        <f>+AA40</f>
        <v/>
      </c>
      <c r="AD40" s="116" t="str">
        <f>IFERROR(IF(AE40="","",IF(AE40&lt;=0.2,"Leve",IF(AE40&lt;=0.4,"Menor",IF(AE40&lt;=0.6,"Moderado",IF(AE40&lt;=0.8,"Mayor","Catastrófico"))))),"")</f>
        <v/>
      </c>
      <c r="AE40" s="117" t="str">
        <f>IFERROR(IF(T40="Impacto",(P40-(+P40*W40)),IF(T40="Probabilidad",P40,"")),"")</f>
        <v/>
      </c>
      <c r="AF40" s="118" t="str">
        <f>IFERROR(IF(OR(AND(AB40="Muy Baja",AD40="Leve"),AND(AB40="Muy Baja",AD40="Menor"),AND(AB40="Baja",AD40="Leve")),"Bajo",IF(OR(AND(AB40="Muy baja",AD40="Moderado"),AND(AB40="Baja",AD40="Menor"),AND(AB40="Baja",AD40="Moderado"),AND(AB40="Media",AD40="Leve"),AND(AB40="Media",AD40="Menor"),AND(AB40="Media",AD40="Moderado"),AND(AB40="Alta",AD40="Leve"),AND(AB40="Alta",AD40="Menor")),"Moderado",IF(OR(AND(AB40="Muy Baja",AD40="Mayor"),AND(AB40="Baja",AD40="Mayor"),AND(AB40="Media",AD40="Mayor"),AND(AB40="Alta",AD40="Moderado"),AND(AB40="Alta",AD40="Mayor"),AND(AB40="Muy Alta",AD40="Leve"),AND(AB40="Muy Alta",AD40="Menor"),AND(AB40="Muy Alta",AD40="Moderado"),AND(AB40="Muy Alta",AD40="Mayor")),"Alto",IF(OR(AND(AB40="Muy Baja",AD40="Catastrófico"),AND(AB40="Baja",AD40="Catastrófico"),AND(AB40="Media",AD40="Catastrófico"),AND(AB40="Alta",AD40="Catastrófico"),AND(AB40="Muy Alta",AD40="Catastrófico")),"Extremo","")))),"")</f>
        <v/>
      </c>
      <c r="AG40" s="119"/>
      <c r="AH40" s="108"/>
      <c r="AI40" s="109"/>
      <c r="AJ40" s="110"/>
      <c r="AK40" s="110"/>
      <c r="AL40" s="108"/>
      <c r="AM40" s="109"/>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row>
    <row r="41" spans="1:71" ht="26.25" customHeight="1" x14ac:dyDescent="0.25">
      <c r="A41" s="396"/>
      <c r="B41" s="417"/>
      <c r="C41" s="417"/>
      <c r="D41" s="417"/>
      <c r="E41" s="121"/>
      <c r="F41" s="414"/>
      <c r="G41" s="387"/>
      <c r="H41" s="124"/>
      <c r="I41" s="417"/>
      <c r="J41" s="410"/>
      <c r="K41" s="412"/>
      <c r="L41" s="430"/>
      <c r="M41" s="462"/>
      <c r="N41" s="430">
        <f>IF(NOT(ISERROR(MATCH(M41,_xlfn.ANCHORARRAY(F52),0))),L54&amp;"Por favor no seleccionar los criterios de impacto",M41)</f>
        <v>0</v>
      </c>
      <c r="O41" s="412"/>
      <c r="P41" s="430"/>
      <c r="Q41" s="432"/>
      <c r="R41" s="105">
        <v>2</v>
      </c>
      <c r="S41" s="226"/>
      <c r="T41" s="106" t="str">
        <f>IF(OR(U41="Preventivo",U41="Detectivo"),"Probabilidad",IF(U41="Correctivo","Impacto",""))</f>
        <v/>
      </c>
      <c r="U41" s="111"/>
      <c r="V41" s="111"/>
      <c r="W41" s="112" t="str">
        <f t="shared" ref="W41:W45" si="70">IF(AND(U41="Preventivo",V41="Automático"),"50%",IF(AND(U41="Preventivo",V41="Manual"),"40%",IF(AND(U41="Detectivo",V41="Automático"),"40%",IF(AND(U41="Detectivo",V41="Manual"),"30%",IF(AND(U41="Correctivo",V41="Automático"),"35%",IF(AND(U41="Correctivo",V41="Manual"),"25%",""))))))</f>
        <v/>
      </c>
      <c r="X41" s="111"/>
      <c r="Y41" s="111"/>
      <c r="Z41" s="111"/>
      <c r="AA41" s="107" t="str">
        <f>IFERROR(IF(AND(T40="Probabilidad",T41="Probabilidad"),(AC40-(+AC40*W41)),IF(AND(T40="Impacto",T41="Probabilidad"),(L40-(+L40*W41)),IF(T41="Impacto",AC40,""))),"")</f>
        <v/>
      </c>
      <c r="AB41" s="116" t="str">
        <f t="shared" ref="AB41:AB45" si="71">IFERROR(IF(AA41="","",IF(AA41&lt;=0.2,"Muy Baja",IF(AA41&lt;=0.4,"Baja",IF(AA41&lt;=0.6,"Media",IF(AA41&lt;=0.8,"Alta","Muy Alta"))))),"")</f>
        <v/>
      </c>
      <c r="AC41" s="117" t="str">
        <f>+AA41</f>
        <v/>
      </c>
      <c r="AD41" s="116" t="str">
        <f t="shared" ref="AD41:AD45" si="72">IFERROR(IF(AE41="","",IF(AE41&lt;=0.2,"Leve",IF(AE41&lt;=0.4,"Menor",IF(AE41&lt;=0.6,"Moderado",IF(AE41&lt;=0.8,"Mayor","Catastrófico"))))),"")</f>
        <v/>
      </c>
      <c r="AE41" s="117" t="str">
        <f>IFERROR(IF(AND(T40="Impacto",T41="Impacto"),(AE40-(+AE40*W41)),IF(AND(T40="Probabilidad",T41="Impacto"),(P40-(+P40*W41)),IF(T41="Probabilidad",AE40,""))),"")</f>
        <v/>
      </c>
      <c r="AF41" s="118" t="str">
        <f t="shared" ref="AF41:AF45" si="73">IFERROR(IF(OR(AND(AB41="Muy Baja",AD41="Leve"),AND(AB41="Muy Baja",AD41="Menor"),AND(AB41="Baja",AD41="Leve")),"Bajo",IF(OR(AND(AB41="Muy baja",AD41="Moderado"),AND(AB41="Baja",AD41="Menor"),AND(AB41="Baja",AD41="Moderado"),AND(AB41="Media",AD41="Leve"),AND(AB41="Media",AD41="Menor"),AND(AB41="Media",AD41="Moderado"),AND(AB41="Alta",AD41="Leve"),AND(AB41="Alta",AD41="Menor")),"Moderado",IF(OR(AND(AB41="Muy Baja",AD41="Mayor"),AND(AB41="Baja",AD41="Mayor"),AND(AB41="Media",AD41="Mayor"),AND(AB41="Alta",AD41="Moderado"),AND(AB41="Alta",AD41="Mayor"),AND(AB41="Muy Alta",AD41="Leve"),AND(AB41="Muy Alta",AD41="Menor"),AND(AB41="Muy Alta",AD41="Moderado"),AND(AB41="Muy Alta",AD41="Mayor")),"Alto",IF(OR(AND(AB41="Muy Baja",AD41="Catastrófico"),AND(AB41="Baja",AD41="Catastrófico"),AND(AB41="Media",AD41="Catastrófico"),AND(AB41="Alta",AD41="Catastrófico"),AND(AB41="Muy Alta",AD41="Catastrófico")),"Extremo","")))),"")</f>
        <v/>
      </c>
      <c r="AG41" s="119"/>
      <c r="AH41" s="108"/>
      <c r="AI41" s="109"/>
      <c r="AJ41" s="110"/>
      <c r="AK41" s="110"/>
      <c r="AL41" s="108"/>
      <c r="AM41" s="109"/>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row>
    <row r="42" spans="1:71" ht="26.25" customHeight="1" x14ac:dyDescent="0.25">
      <c r="A42" s="396"/>
      <c r="B42" s="417"/>
      <c r="C42" s="417"/>
      <c r="D42" s="417"/>
      <c r="E42" s="121"/>
      <c r="F42" s="414"/>
      <c r="G42" s="387"/>
      <c r="H42" s="124"/>
      <c r="I42" s="417"/>
      <c r="J42" s="410"/>
      <c r="K42" s="412"/>
      <c r="L42" s="430"/>
      <c r="M42" s="462"/>
      <c r="N42" s="430">
        <f>IF(NOT(ISERROR(MATCH(M42,_xlfn.ANCHORARRAY(F53),0))),L55&amp;"Por favor no seleccionar los criterios de impacto",M42)</f>
        <v>0</v>
      </c>
      <c r="O42" s="412"/>
      <c r="P42" s="430"/>
      <c r="Q42" s="432"/>
      <c r="R42" s="105">
        <v>3</v>
      </c>
      <c r="S42" s="228"/>
      <c r="T42" s="106" t="str">
        <f t="shared" ref="T42:T45" si="74">IF(OR(U42="Preventivo",U42="Detectivo"),"Probabilidad",IF(U42="Correctivo","Impacto",""))</f>
        <v/>
      </c>
      <c r="U42" s="111"/>
      <c r="V42" s="111"/>
      <c r="W42" s="112" t="str">
        <f t="shared" si="70"/>
        <v/>
      </c>
      <c r="X42" s="111"/>
      <c r="Y42" s="111"/>
      <c r="Z42" s="111"/>
      <c r="AA42" s="107" t="str">
        <f>IFERROR(IF(AND(T41="Probabilidad",T42="Probabilidad"),(AC41-(+AC41*W42)),IF(AND(T41="Impacto",T42="Probabilidad"),(AC40-(+AC40*W42)),IF(T42="Impacto",AC41,""))),"")</f>
        <v/>
      </c>
      <c r="AB42" s="116" t="str">
        <f t="shared" si="71"/>
        <v/>
      </c>
      <c r="AC42" s="117" t="str">
        <f t="shared" ref="AC42:AC45" si="75">+AA42</f>
        <v/>
      </c>
      <c r="AD42" s="116" t="str">
        <f t="shared" si="72"/>
        <v/>
      </c>
      <c r="AE42" s="117" t="str">
        <f t="shared" ref="AE42:AE45" si="76">IFERROR(IF(AND(T41="Impacto",T42="Impacto"),(AE41-(+AE41*W42)),IF(AND(T41="Probabilidad",T42="Impacto"),(AE40-(+AE40*W42)),IF(T42="Probabilidad",AE41,""))),"")</f>
        <v/>
      </c>
      <c r="AF42" s="118" t="str">
        <f t="shared" si="73"/>
        <v/>
      </c>
      <c r="AG42" s="119"/>
      <c r="AH42" s="108"/>
      <c r="AI42" s="109"/>
      <c r="AJ42" s="110"/>
      <c r="AK42" s="110"/>
      <c r="AL42" s="108"/>
      <c r="AM42" s="109"/>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row>
    <row r="43" spans="1:71" ht="26.25" customHeight="1" x14ac:dyDescent="0.25">
      <c r="A43" s="396"/>
      <c r="B43" s="417"/>
      <c r="C43" s="417"/>
      <c r="D43" s="417"/>
      <c r="E43" s="121"/>
      <c r="F43" s="414"/>
      <c r="G43" s="387"/>
      <c r="H43" s="124"/>
      <c r="I43" s="417"/>
      <c r="J43" s="410"/>
      <c r="K43" s="412"/>
      <c r="L43" s="430"/>
      <c r="M43" s="462"/>
      <c r="N43" s="430">
        <f>IF(NOT(ISERROR(MATCH(M43,_xlfn.ANCHORARRAY(F54),0))),L56&amp;"Por favor no seleccionar los criterios de impacto",M43)</f>
        <v>0</v>
      </c>
      <c r="O43" s="412"/>
      <c r="P43" s="430"/>
      <c r="Q43" s="432"/>
      <c r="R43" s="105">
        <v>4</v>
      </c>
      <c r="S43" s="226"/>
      <c r="T43" s="106" t="str">
        <f t="shared" si="74"/>
        <v/>
      </c>
      <c r="U43" s="111"/>
      <c r="V43" s="111"/>
      <c r="W43" s="112" t="str">
        <f t="shared" si="70"/>
        <v/>
      </c>
      <c r="X43" s="111"/>
      <c r="Y43" s="111"/>
      <c r="Z43" s="111"/>
      <c r="AA43" s="107" t="str">
        <f t="shared" ref="AA43:AA45" si="77">IFERROR(IF(AND(T42="Probabilidad",T43="Probabilidad"),(AC42-(+AC42*W43)),IF(AND(T42="Impacto",T43="Probabilidad"),(AC41-(+AC41*W43)),IF(T43="Impacto",AC42,""))),"")</f>
        <v/>
      </c>
      <c r="AB43" s="116" t="str">
        <f t="shared" si="71"/>
        <v/>
      </c>
      <c r="AC43" s="117" t="str">
        <f t="shared" si="75"/>
        <v/>
      </c>
      <c r="AD43" s="116" t="str">
        <f t="shared" si="72"/>
        <v/>
      </c>
      <c r="AE43" s="117" t="str">
        <f t="shared" si="76"/>
        <v/>
      </c>
      <c r="AF43" s="118" t="str">
        <f t="shared" si="73"/>
        <v/>
      </c>
      <c r="AG43" s="119"/>
      <c r="AH43" s="108"/>
      <c r="AI43" s="109"/>
      <c r="AJ43" s="110"/>
      <c r="AK43" s="110"/>
      <c r="AL43" s="108"/>
      <c r="AM43" s="109"/>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row>
    <row r="44" spans="1:71" ht="26.25" customHeight="1" x14ac:dyDescent="0.25">
      <c r="A44" s="396"/>
      <c r="B44" s="417"/>
      <c r="C44" s="417"/>
      <c r="D44" s="417"/>
      <c r="E44" s="121"/>
      <c r="F44" s="414"/>
      <c r="G44" s="387"/>
      <c r="H44" s="124"/>
      <c r="I44" s="417"/>
      <c r="J44" s="410"/>
      <c r="K44" s="412"/>
      <c r="L44" s="430"/>
      <c r="M44" s="462"/>
      <c r="N44" s="430">
        <f>IF(NOT(ISERROR(MATCH(M44,_xlfn.ANCHORARRAY(F55),0))),L57&amp;"Por favor no seleccionar los criterios de impacto",M44)</f>
        <v>0</v>
      </c>
      <c r="O44" s="412"/>
      <c r="P44" s="430"/>
      <c r="Q44" s="432"/>
      <c r="R44" s="105">
        <v>5</v>
      </c>
      <c r="S44" s="226"/>
      <c r="T44" s="106" t="str">
        <f t="shared" si="74"/>
        <v/>
      </c>
      <c r="U44" s="111"/>
      <c r="V44" s="111"/>
      <c r="W44" s="112" t="str">
        <f t="shared" si="70"/>
        <v/>
      </c>
      <c r="X44" s="111"/>
      <c r="Y44" s="111"/>
      <c r="Z44" s="111"/>
      <c r="AA44" s="107" t="str">
        <f t="shared" si="77"/>
        <v/>
      </c>
      <c r="AB44" s="116" t="str">
        <f t="shared" si="71"/>
        <v/>
      </c>
      <c r="AC44" s="117" t="str">
        <f t="shared" si="75"/>
        <v/>
      </c>
      <c r="AD44" s="116" t="str">
        <f t="shared" si="72"/>
        <v/>
      </c>
      <c r="AE44" s="117" t="str">
        <f t="shared" si="76"/>
        <v/>
      </c>
      <c r="AF44" s="118" t="str">
        <f t="shared" si="73"/>
        <v/>
      </c>
      <c r="AG44" s="119"/>
      <c r="AH44" s="108"/>
      <c r="AI44" s="109"/>
      <c r="AJ44" s="110"/>
      <c r="AK44" s="110"/>
      <c r="AL44" s="108"/>
      <c r="AM44" s="109"/>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row>
    <row r="45" spans="1:71" ht="26.25" customHeight="1" x14ac:dyDescent="0.25">
      <c r="A45" s="463"/>
      <c r="B45" s="418"/>
      <c r="C45" s="418"/>
      <c r="D45" s="418"/>
      <c r="E45" s="122"/>
      <c r="F45" s="415"/>
      <c r="G45" s="388"/>
      <c r="H45" s="125"/>
      <c r="I45" s="418"/>
      <c r="J45" s="419"/>
      <c r="K45" s="420"/>
      <c r="L45" s="468"/>
      <c r="M45" s="469"/>
      <c r="N45" s="468">
        <f>IF(NOT(ISERROR(MATCH(M45,_xlfn.ANCHORARRAY(F56),0))),L58&amp;"Por favor no seleccionar los criterios de impacto",M45)</f>
        <v>0</v>
      </c>
      <c r="O45" s="420"/>
      <c r="P45" s="468"/>
      <c r="Q45" s="470"/>
      <c r="R45" s="105">
        <v>6</v>
      </c>
      <c r="S45" s="226"/>
      <c r="T45" s="106" t="str">
        <f t="shared" si="74"/>
        <v/>
      </c>
      <c r="U45" s="111"/>
      <c r="V45" s="111"/>
      <c r="W45" s="112" t="str">
        <f t="shared" si="70"/>
        <v/>
      </c>
      <c r="X45" s="111"/>
      <c r="Y45" s="111"/>
      <c r="Z45" s="111"/>
      <c r="AA45" s="107" t="str">
        <f t="shared" si="77"/>
        <v/>
      </c>
      <c r="AB45" s="116" t="str">
        <f t="shared" si="71"/>
        <v/>
      </c>
      <c r="AC45" s="117" t="str">
        <f t="shared" si="75"/>
        <v/>
      </c>
      <c r="AD45" s="116" t="str">
        <f t="shared" si="72"/>
        <v/>
      </c>
      <c r="AE45" s="117" t="str">
        <f t="shared" si="76"/>
        <v/>
      </c>
      <c r="AF45" s="118" t="str">
        <f t="shared" si="73"/>
        <v/>
      </c>
      <c r="AG45" s="119"/>
      <c r="AH45" s="108"/>
      <c r="AI45" s="109"/>
      <c r="AJ45" s="110"/>
      <c r="AK45" s="110"/>
      <c r="AL45" s="108"/>
      <c r="AM45" s="109"/>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row>
    <row r="46" spans="1:71" ht="26.25" customHeight="1" x14ac:dyDescent="0.25">
      <c r="A46" s="395">
        <v>9</v>
      </c>
      <c r="B46" s="416"/>
      <c r="C46" s="416"/>
      <c r="D46" s="416"/>
      <c r="E46" s="120"/>
      <c r="F46" s="413"/>
      <c r="G46" s="386"/>
      <c r="H46" s="123"/>
      <c r="I46" s="416"/>
      <c r="J46" s="409"/>
      <c r="K46" s="411" t="str">
        <f t="shared" ref="K46" si="78">IF(J46&lt;=0,"",IF(J46&lt;=2,"Muy Baja",IF(J46&lt;=24,"Baja",IF(J46&lt;=500,"Media",IF(J46&lt;=5000,"Alta","Muy Alta")))))</f>
        <v/>
      </c>
      <c r="L46" s="429" t="str">
        <f t="shared" ref="L46" si="79">IF(K46="","",IF(K46="Muy Baja",0.2,IF(K46="Baja",0.4,IF(K46="Media",0.6,IF(K46="Alta",0.8,IF(K46="Muy Alta",1,))))))</f>
        <v/>
      </c>
      <c r="M46" s="461"/>
      <c r="N46" s="429">
        <f>IF(NOT(ISERROR(MATCH(M46,'Tabla Impacto'!$B$221:$B$223,0))),'Tabla Impacto'!$F$223&amp;"Por favor no seleccionar los criterios de impacto(Afectación Económica o presupuestal y Pérdida Reputacional)",M46)</f>
        <v>0</v>
      </c>
      <c r="O46" s="411" t="str">
        <f>IF(OR(N46='Tabla Impacto'!$C$11,N46='Tabla Impacto'!$D$11),"Leve",IF(OR(N46='Tabla Impacto'!$C$12,N46='Tabla Impacto'!$D$12),"Menor",IF(OR(N46='Tabla Impacto'!$C$13,N46='Tabla Impacto'!$D$13),"Moderado",IF(OR(N46='Tabla Impacto'!$C$14,N46='Tabla Impacto'!$D$14),"Mayor",IF(OR(N46='Tabla Impacto'!$C$15,N46='Tabla Impacto'!$D$15),"Catastrófico","")))))</f>
        <v/>
      </c>
      <c r="P46" s="429" t="str">
        <f t="shared" ref="P46" si="80">IF(O46="","",IF(O46="Leve",0.2,IF(O46="Menor",0.4,IF(O46="Moderado",0.6,IF(O46="Mayor",0.8,IF(O46="Catastrófico",1,))))))</f>
        <v/>
      </c>
      <c r="Q46" s="431" t="str">
        <f t="shared" ref="Q46" si="81">IF(OR(AND(K46="Muy Baja",O46="Leve"),AND(K46="Muy Baja",O46="Menor"),AND(K46="Baja",O46="Leve")),"Bajo",IF(OR(AND(K46="Muy baja",O46="Moderado"),AND(K46="Baja",O46="Menor"),AND(K46="Baja",O46="Moderado"),AND(K46="Media",O46="Leve"),AND(K46="Media",O46="Menor"),AND(K46="Media",O46="Moderado"),AND(K46="Alta",O46="Leve"),AND(K46="Alta",O46="Menor")),"Moderado",IF(OR(AND(K46="Muy Baja",O46="Mayor"),AND(K46="Baja",O46="Mayor"),AND(K46="Media",O46="Mayor"),AND(K46="Alta",O46="Moderado"),AND(K46="Alta",O46="Mayor"),AND(K46="Muy Alta",O46="Leve"),AND(K46="Muy Alta",O46="Menor"),AND(K46="Muy Alta",O46="Moderado"),AND(K46="Muy Alta",O46="Mayor")),"Alto",IF(OR(AND(K46="Muy Baja",O46="Catastrófico"),AND(K46="Baja",O46="Catastrófico"),AND(K46="Media",O46="Catastrófico"),AND(K46="Alta",O46="Catastrófico"),AND(K46="Muy Alta",O46="Catastrófico")),"Extremo",""))))</f>
        <v/>
      </c>
      <c r="R46" s="105">
        <v>1</v>
      </c>
      <c r="S46" s="226"/>
      <c r="T46" s="106" t="str">
        <f>IF(OR(U46="Preventivo",U46="Detectivo"),"Probabilidad",IF(U46="Correctivo","Impacto",""))</f>
        <v/>
      </c>
      <c r="U46" s="111"/>
      <c r="V46" s="111"/>
      <c r="W46" s="112" t="str">
        <f>IF(AND(U46="Preventivo",V46="Automático"),"50%",IF(AND(U46="Preventivo",V46="Manual"),"40%",IF(AND(U46="Detectivo",V46="Automático"),"40%",IF(AND(U46="Detectivo",V46="Manual"),"30%",IF(AND(U46="Correctivo",V46="Automático"),"35%",IF(AND(U46="Correctivo",V46="Manual"),"25%",""))))))</f>
        <v/>
      </c>
      <c r="X46" s="111"/>
      <c r="Y46" s="111"/>
      <c r="Z46" s="111"/>
      <c r="AA46" s="107" t="str">
        <f>IFERROR(IF(T46="Probabilidad",(L46-(+L46*W46)),IF(T46="Impacto",L46,"")),"")</f>
        <v/>
      </c>
      <c r="AB46" s="116" t="str">
        <f>IFERROR(IF(AA46="","",IF(AA46&lt;=0.2,"Muy Baja",IF(AA46&lt;=0.4,"Baja",IF(AA46&lt;=0.6,"Media",IF(AA46&lt;=0.8,"Alta","Muy Alta"))))),"")</f>
        <v/>
      </c>
      <c r="AC46" s="117" t="str">
        <f>+AA46</f>
        <v/>
      </c>
      <c r="AD46" s="116" t="str">
        <f>IFERROR(IF(AE46="","",IF(AE46&lt;=0.2,"Leve",IF(AE46&lt;=0.4,"Menor",IF(AE46&lt;=0.6,"Moderado",IF(AE46&lt;=0.8,"Mayor","Catastrófico"))))),"")</f>
        <v/>
      </c>
      <c r="AE46" s="117" t="str">
        <f>IFERROR(IF(T46="Impacto",(P46-(+P46*W46)),IF(T46="Probabilidad",P46,"")),"")</f>
        <v/>
      </c>
      <c r="AF46" s="118" t="str">
        <f>IFERROR(IF(OR(AND(AB46="Muy Baja",AD46="Leve"),AND(AB46="Muy Baja",AD46="Menor"),AND(AB46="Baja",AD46="Leve")),"Bajo",IF(OR(AND(AB46="Muy baja",AD46="Moderado"),AND(AB46="Baja",AD46="Menor"),AND(AB46="Baja",AD46="Moderado"),AND(AB46="Media",AD46="Leve"),AND(AB46="Media",AD46="Menor"),AND(AB46="Media",AD46="Moderado"),AND(AB46="Alta",AD46="Leve"),AND(AB46="Alta",AD46="Menor")),"Moderado",IF(OR(AND(AB46="Muy Baja",AD46="Mayor"),AND(AB46="Baja",AD46="Mayor"),AND(AB46="Media",AD46="Mayor"),AND(AB46="Alta",AD46="Moderado"),AND(AB46="Alta",AD46="Mayor"),AND(AB46="Muy Alta",AD46="Leve"),AND(AB46="Muy Alta",AD46="Menor"),AND(AB46="Muy Alta",AD46="Moderado"),AND(AB46="Muy Alta",AD46="Mayor")),"Alto",IF(OR(AND(AB46="Muy Baja",AD46="Catastrófico"),AND(AB46="Baja",AD46="Catastrófico"),AND(AB46="Media",AD46="Catastrófico"),AND(AB46="Alta",AD46="Catastrófico"),AND(AB46="Muy Alta",AD46="Catastrófico")),"Extremo","")))),"")</f>
        <v/>
      </c>
      <c r="AG46" s="119"/>
      <c r="AH46" s="108"/>
      <c r="AI46" s="109"/>
      <c r="AJ46" s="110"/>
      <c r="AK46" s="110"/>
      <c r="AL46" s="108"/>
      <c r="AM46" s="109"/>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row>
    <row r="47" spans="1:71" ht="26.25" customHeight="1" x14ac:dyDescent="0.25">
      <c r="A47" s="396"/>
      <c r="B47" s="417"/>
      <c r="C47" s="417"/>
      <c r="D47" s="417"/>
      <c r="E47" s="121"/>
      <c r="F47" s="414"/>
      <c r="G47" s="387"/>
      <c r="H47" s="124"/>
      <c r="I47" s="417"/>
      <c r="J47" s="410"/>
      <c r="K47" s="412"/>
      <c r="L47" s="430"/>
      <c r="M47" s="462"/>
      <c r="N47" s="430">
        <f>IF(NOT(ISERROR(MATCH(M47,_xlfn.ANCHORARRAY(F58),0))),L60&amp;"Por favor no seleccionar los criterios de impacto",M47)</f>
        <v>0</v>
      </c>
      <c r="O47" s="412"/>
      <c r="P47" s="430"/>
      <c r="Q47" s="432"/>
      <c r="R47" s="105">
        <v>2</v>
      </c>
      <c r="S47" s="226"/>
      <c r="T47" s="106" t="str">
        <f>IF(OR(U47="Preventivo",U47="Detectivo"),"Probabilidad",IF(U47="Correctivo","Impacto",""))</f>
        <v/>
      </c>
      <c r="U47" s="111"/>
      <c r="V47" s="111"/>
      <c r="W47" s="112" t="str">
        <f t="shared" ref="W47:W51" si="82">IF(AND(U47="Preventivo",V47="Automático"),"50%",IF(AND(U47="Preventivo",V47="Manual"),"40%",IF(AND(U47="Detectivo",V47="Automático"),"40%",IF(AND(U47="Detectivo",V47="Manual"),"30%",IF(AND(U47="Correctivo",V47="Automático"),"35%",IF(AND(U47="Correctivo",V47="Manual"),"25%",""))))))</f>
        <v/>
      </c>
      <c r="X47" s="111"/>
      <c r="Y47" s="111"/>
      <c r="Z47" s="111"/>
      <c r="AA47" s="107" t="str">
        <f>IFERROR(IF(AND(T46="Probabilidad",T47="Probabilidad"),(AC46-(+AC46*W47)),IF(AND(T46="Impacto",T47="Probabilidad"),(L46-(+L46*W47)),IF(T47="Impacto",AC46,""))),"")</f>
        <v/>
      </c>
      <c r="AB47" s="116" t="str">
        <f t="shared" ref="AB47:AB51" si="83">IFERROR(IF(AA47="","",IF(AA47&lt;=0.2,"Muy Baja",IF(AA47&lt;=0.4,"Baja",IF(AA47&lt;=0.6,"Media",IF(AA47&lt;=0.8,"Alta","Muy Alta"))))),"")</f>
        <v/>
      </c>
      <c r="AC47" s="117" t="str">
        <f>+AA47</f>
        <v/>
      </c>
      <c r="AD47" s="116" t="str">
        <f t="shared" ref="AD47:AD51" si="84">IFERROR(IF(AE47="","",IF(AE47&lt;=0.2,"Leve",IF(AE47&lt;=0.4,"Menor",IF(AE47&lt;=0.6,"Moderado",IF(AE47&lt;=0.8,"Mayor","Catastrófico"))))),"")</f>
        <v/>
      </c>
      <c r="AE47" s="117" t="str">
        <f>IFERROR(IF(AND(T46="Impacto",T47="Impacto"),(AE46-(+AE46*W47)),IF(AND(T46="Probabilidad",T47="Impacto"),(P46-(+P46*W47)),IF(T47="Probabilidad",AE46,""))),"")</f>
        <v/>
      </c>
      <c r="AF47" s="118" t="str">
        <f t="shared" ref="AF47:AF51" si="85">IFERROR(IF(OR(AND(AB47="Muy Baja",AD47="Leve"),AND(AB47="Muy Baja",AD47="Menor"),AND(AB47="Baja",AD47="Leve")),"Bajo",IF(OR(AND(AB47="Muy baja",AD47="Moderado"),AND(AB47="Baja",AD47="Menor"),AND(AB47="Baja",AD47="Moderado"),AND(AB47="Media",AD47="Leve"),AND(AB47="Media",AD47="Menor"),AND(AB47="Media",AD47="Moderado"),AND(AB47="Alta",AD47="Leve"),AND(AB47="Alta",AD47="Menor")),"Moderado",IF(OR(AND(AB47="Muy Baja",AD47="Mayor"),AND(AB47="Baja",AD47="Mayor"),AND(AB47="Media",AD47="Mayor"),AND(AB47="Alta",AD47="Moderado"),AND(AB47="Alta",AD47="Mayor"),AND(AB47="Muy Alta",AD47="Leve"),AND(AB47="Muy Alta",AD47="Menor"),AND(AB47="Muy Alta",AD47="Moderado"),AND(AB47="Muy Alta",AD47="Mayor")),"Alto",IF(OR(AND(AB47="Muy Baja",AD47="Catastrófico"),AND(AB47="Baja",AD47="Catastrófico"),AND(AB47="Media",AD47="Catastrófico"),AND(AB47="Alta",AD47="Catastrófico"),AND(AB47="Muy Alta",AD47="Catastrófico")),"Extremo","")))),"")</f>
        <v/>
      </c>
      <c r="AG47" s="119"/>
      <c r="AH47" s="108"/>
      <c r="AI47" s="109"/>
      <c r="AJ47" s="110"/>
      <c r="AK47" s="110"/>
      <c r="AL47" s="108"/>
      <c r="AM47" s="109"/>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row>
    <row r="48" spans="1:71" ht="26.25" customHeight="1" x14ac:dyDescent="0.25">
      <c r="A48" s="396"/>
      <c r="B48" s="417"/>
      <c r="C48" s="417"/>
      <c r="D48" s="417"/>
      <c r="E48" s="121"/>
      <c r="F48" s="414"/>
      <c r="G48" s="387"/>
      <c r="H48" s="124"/>
      <c r="I48" s="417"/>
      <c r="J48" s="410"/>
      <c r="K48" s="412"/>
      <c r="L48" s="430"/>
      <c r="M48" s="462"/>
      <c r="N48" s="430">
        <f>IF(NOT(ISERROR(MATCH(M48,_xlfn.ANCHORARRAY(F59),0))),L61&amp;"Por favor no seleccionar los criterios de impacto",M48)</f>
        <v>0</v>
      </c>
      <c r="O48" s="412"/>
      <c r="P48" s="430"/>
      <c r="Q48" s="432"/>
      <c r="R48" s="105">
        <v>3</v>
      </c>
      <c r="S48" s="228"/>
      <c r="T48" s="106" t="str">
        <f t="shared" ref="T48:T51" si="86">IF(OR(U48="Preventivo",U48="Detectivo"),"Probabilidad",IF(U48="Correctivo","Impacto",""))</f>
        <v/>
      </c>
      <c r="U48" s="111"/>
      <c r="V48" s="111"/>
      <c r="W48" s="112" t="str">
        <f t="shared" si="82"/>
        <v/>
      </c>
      <c r="X48" s="111"/>
      <c r="Y48" s="111"/>
      <c r="Z48" s="111"/>
      <c r="AA48" s="107" t="str">
        <f>IFERROR(IF(AND(T47="Probabilidad",T48="Probabilidad"),(AC47-(+AC47*W48)),IF(AND(T47="Impacto",T48="Probabilidad"),(AC46-(+AC46*W48)),IF(T48="Impacto",AC47,""))),"")</f>
        <v/>
      </c>
      <c r="AB48" s="116" t="str">
        <f t="shared" si="83"/>
        <v/>
      </c>
      <c r="AC48" s="117" t="str">
        <f t="shared" ref="AC48:AC51" si="87">+AA48</f>
        <v/>
      </c>
      <c r="AD48" s="116" t="str">
        <f t="shared" si="84"/>
        <v/>
      </c>
      <c r="AE48" s="117" t="str">
        <f t="shared" ref="AE48:AE51" si="88">IFERROR(IF(AND(T47="Impacto",T48="Impacto"),(AE47-(+AE47*W48)),IF(AND(T47="Probabilidad",T48="Impacto"),(AE46-(+AE46*W48)),IF(T48="Probabilidad",AE47,""))),"")</f>
        <v/>
      </c>
      <c r="AF48" s="118" t="str">
        <f t="shared" si="85"/>
        <v/>
      </c>
      <c r="AG48" s="119"/>
      <c r="AH48" s="108"/>
      <c r="AI48" s="109"/>
      <c r="AJ48" s="110"/>
      <c r="AK48" s="110"/>
      <c r="AL48" s="108"/>
      <c r="AM48" s="109"/>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row>
    <row r="49" spans="1:71" ht="26.25" customHeight="1" x14ac:dyDescent="0.25">
      <c r="A49" s="396"/>
      <c r="B49" s="417"/>
      <c r="C49" s="417"/>
      <c r="D49" s="417"/>
      <c r="E49" s="121"/>
      <c r="F49" s="414"/>
      <c r="G49" s="387"/>
      <c r="H49" s="124"/>
      <c r="I49" s="417"/>
      <c r="J49" s="410"/>
      <c r="K49" s="412"/>
      <c r="L49" s="430"/>
      <c r="M49" s="462"/>
      <c r="N49" s="430">
        <f>IF(NOT(ISERROR(MATCH(M49,_xlfn.ANCHORARRAY(F60),0))),L62&amp;"Por favor no seleccionar los criterios de impacto",M49)</f>
        <v>0</v>
      </c>
      <c r="O49" s="412"/>
      <c r="P49" s="430"/>
      <c r="Q49" s="432"/>
      <c r="R49" s="105">
        <v>4</v>
      </c>
      <c r="S49" s="226"/>
      <c r="T49" s="106" t="str">
        <f t="shared" si="86"/>
        <v/>
      </c>
      <c r="U49" s="111"/>
      <c r="V49" s="111"/>
      <c r="W49" s="112" t="str">
        <f t="shared" si="82"/>
        <v/>
      </c>
      <c r="X49" s="111"/>
      <c r="Y49" s="111"/>
      <c r="Z49" s="111"/>
      <c r="AA49" s="107" t="str">
        <f t="shared" ref="AA49:AA51" si="89">IFERROR(IF(AND(T48="Probabilidad",T49="Probabilidad"),(AC48-(+AC48*W49)),IF(AND(T48="Impacto",T49="Probabilidad"),(AC47-(+AC47*W49)),IF(T49="Impacto",AC48,""))),"")</f>
        <v/>
      </c>
      <c r="AB49" s="116" t="str">
        <f t="shared" si="83"/>
        <v/>
      </c>
      <c r="AC49" s="117" t="str">
        <f t="shared" si="87"/>
        <v/>
      </c>
      <c r="AD49" s="116" t="str">
        <f t="shared" si="84"/>
        <v/>
      </c>
      <c r="AE49" s="117" t="str">
        <f t="shared" si="88"/>
        <v/>
      </c>
      <c r="AF49" s="118" t="str">
        <f t="shared" si="85"/>
        <v/>
      </c>
      <c r="AG49" s="119"/>
      <c r="AH49" s="108"/>
      <c r="AI49" s="109"/>
      <c r="AJ49" s="110"/>
      <c r="AK49" s="110"/>
      <c r="AL49" s="108"/>
      <c r="AM49" s="109"/>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row>
    <row r="50" spans="1:71" ht="26.25" customHeight="1" x14ac:dyDescent="0.25">
      <c r="A50" s="396"/>
      <c r="B50" s="417"/>
      <c r="C50" s="417"/>
      <c r="D50" s="417"/>
      <c r="E50" s="121"/>
      <c r="F50" s="414"/>
      <c r="G50" s="387"/>
      <c r="H50" s="124"/>
      <c r="I50" s="417"/>
      <c r="J50" s="410"/>
      <c r="K50" s="412"/>
      <c r="L50" s="430"/>
      <c r="M50" s="462"/>
      <c r="N50" s="430">
        <f>IF(NOT(ISERROR(MATCH(M50,_xlfn.ANCHORARRAY(F61),0))),L63&amp;"Por favor no seleccionar los criterios de impacto",M50)</f>
        <v>0</v>
      </c>
      <c r="O50" s="412"/>
      <c r="P50" s="430"/>
      <c r="Q50" s="432"/>
      <c r="R50" s="105">
        <v>5</v>
      </c>
      <c r="S50" s="226"/>
      <c r="T50" s="106" t="str">
        <f t="shared" si="86"/>
        <v/>
      </c>
      <c r="U50" s="111"/>
      <c r="V50" s="111"/>
      <c r="W50" s="112" t="str">
        <f t="shared" si="82"/>
        <v/>
      </c>
      <c r="X50" s="111"/>
      <c r="Y50" s="111"/>
      <c r="Z50" s="111"/>
      <c r="AA50" s="107" t="str">
        <f t="shared" si="89"/>
        <v/>
      </c>
      <c r="AB50" s="116" t="str">
        <f t="shared" si="83"/>
        <v/>
      </c>
      <c r="AC50" s="117" t="str">
        <f t="shared" si="87"/>
        <v/>
      </c>
      <c r="AD50" s="116" t="str">
        <f t="shared" si="84"/>
        <v/>
      </c>
      <c r="AE50" s="117" t="str">
        <f t="shared" si="88"/>
        <v/>
      </c>
      <c r="AF50" s="118" t="str">
        <f t="shared" si="85"/>
        <v/>
      </c>
      <c r="AG50" s="119"/>
      <c r="AH50" s="108"/>
      <c r="AI50" s="109"/>
      <c r="AJ50" s="110"/>
      <c r="AK50" s="110"/>
      <c r="AL50" s="108"/>
      <c r="AM50" s="109"/>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row>
    <row r="51" spans="1:71" ht="26.25" customHeight="1" x14ac:dyDescent="0.25">
      <c r="A51" s="463"/>
      <c r="B51" s="418"/>
      <c r="C51" s="418"/>
      <c r="D51" s="418"/>
      <c r="E51" s="122"/>
      <c r="F51" s="415"/>
      <c r="G51" s="388"/>
      <c r="H51" s="125"/>
      <c r="I51" s="418"/>
      <c r="J51" s="419"/>
      <c r="K51" s="420"/>
      <c r="L51" s="468"/>
      <c r="M51" s="469"/>
      <c r="N51" s="468">
        <f>IF(NOT(ISERROR(MATCH(M51,_xlfn.ANCHORARRAY(F62),0))),L64&amp;"Por favor no seleccionar los criterios de impacto",M51)</f>
        <v>0</v>
      </c>
      <c r="O51" s="420"/>
      <c r="P51" s="468"/>
      <c r="Q51" s="470"/>
      <c r="R51" s="105">
        <v>6</v>
      </c>
      <c r="S51" s="226"/>
      <c r="T51" s="106" t="str">
        <f t="shared" si="86"/>
        <v/>
      </c>
      <c r="U51" s="111"/>
      <c r="V51" s="111"/>
      <c r="W51" s="112" t="str">
        <f t="shared" si="82"/>
        <v/>
      </c>
      <c r="X51" s="111"/>
      <c r="Y51" s="111"/>
      <c r="Z51" s="111"/>
      <c r="AA51" s="107" t="str">
        <f t="shared" si="89"/>
        <v/>
      </c>
      <c r="AB51" s="116" t="str">
        <f t="shared" si="83"/>
        <v/>
      </c>
      <c r="AC51" s="117" t="str">
        <f t="shared" si="87"/>
        <v/>
      </c>
      <c r="AD51" s="116" t="str">
        <f t="shared" si="84"/>
        <v/>
      </c>
      <c r="AE51" s="117" t="str">
        <f t="shared" si="88"/>
        <v/>
      </c>
      <c r="AF51" s="118" t="str">
        <f t="shared" si="85"/>
        <v/>
      </c>
      <c r="AG51" s="119"/>
      <c r="AH51" s="108"/>
      <c r="AI51" s="109"/>
      <c r="AJ51" s="110"/>
      <c r="AK51" s="110"/>
      <c r="AL51" s="108"/>
      <c r="AM51" s="109"/>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row>
    <row r="52" spans="1:71" ht="19.5" customHeight="1" x14ac:dyDescent="0.25">
      <c r="A52" s="395">
        <v>10</v>
      </c>
      <c r="B52" s="416"/>
      <c r="C52" s="416"/>
      <c r="D52" s="416"/>
      <c r="E52" s="120"/>
      <c r="F52" s="413"/>
      <c r="G52" s="386"/>
      <c r="H52" s="123"/>
      <c r="I52" s="416"/>
      <c r="J52" s="409"/>
      <c r="K52" s="411" t="str">
        <f t="shared" ref="K52" si="90">IF(J52&lt;=0,"",IF(J52&lt;=2,"Muy Baja",IF(J52&lt;=24,"Baja",IF(J52&lt;=500,"Media",IF(J52&lt;=5000,"Alta","Muy Alta")))))</f>
        <v/>
      </c>
      <c r="L52" s="429" t="str">
        <f t="shared" ref="L52" si="91">IF(K52="","",IF(K52="Muy Baja",0.2,IF(K52="Baja",0.4,IF(K52="Media",0.6,IF(K52="Alta",0.8,IF(K52="Muy Alta",1,))))))</f>
        <v/>
      </c>
      <c r="M52" s="461"/>
      <c r="N52" s="429">
        <f>IF(NOT(ISERROR(MATCH(M52,'Tabla Impacto'!$B$221:$B$223,0))),'Tabla Impacto'!$F$223&amp;"Por favor no seleccionar los criterios de impacto(Afectación Económica o presupuestal y Pérdida Reputacional)",M52)</f>
        <v>0</v>
      </c>
      <c r="O52" s="411" t="str">
        <f>IF(OR(N52='Tabla Impacto'!$C$11,N52='Tabla Impacto'!$D$11),"Leve",IF(OR(N52='Tabla Impacto'!$C$12,N52='Tabla Impacto'!$D$12),"Menor",IF(OR(N52='Tabla Impacto'!$C$13,N52='Tabla Impacto'!$D$13),"Moderado",IF(OR(N52='Tabla Impacto'!$C$14,N52='Tabla Impacto'!$D$14),"Mayor",IF(OR(N52='Tabla Impacto'!$C$15,N52='Tabla Impacto'!$D$15),"Catastrófico","")))))</f>
        <v/>
      </c>
      <c r="P52" s="429" t="str">
        <f t="shared" ref="P52" si="92">IF(O52="","",IF(O52="Leve",0.2,IF(O52="Menor",0.4,IF(O52="Moderado",0.6,IF(O52="Mayor",0.8,IF(O52="Catastrófico",1,))))))</f>
        <v/>
      </c>
      <c r="Q52" s="431" t="str">
        <f t="shared" ref="Q52" si="93">IF(OR(AND(K52="Muy Baja",O52="Leve"),AND(K52="Muy Baja",O52="Menor"),AND(K52="Baja",O52="Leve")),"Bajo",IF(OR(AND(K52="Muy baja",O52="Moderado"),AND(K52="Baja",O52="Menor"),AND(K52="Baja",O52="Moderado"),AND(K52="Media",O52="Leve"),AND(K52="Media",O52="Menor"),AND(K52="Media",O52="Moderado"),AND(K52="Alta",O52="Leve"),AND(K52="Alta",O52="Menor")),"Moderado",IF(OR(AND(K52="Muy Baja",O52="Mayor"),AND(K52="Baja",O52="Mayor"),AND(K52="Media",O52="Mayor"),AND(K52="Alta",O52="Moderado"),AND(K52="Alta",O52="Mayor"),AND(K52="Muy Alta",O52="Leve"),AND(K52="Muy Alta",O52="Menor"),AND(K52="Muy Alta",O52="Moderado"),AND(K52="Muy Alta",O52="Mayor")),"Alto",IF(OR(AND(K52="Muy Baja",O52="Catastrófico"),AND(K52="Baja",O52="Catastrófico"),AND(K52="Media",O52="Catastrófico"),AND(K52="Alta",O52="Catastrófico"),AND(K52="Muy Alta",O52="Catastrófico")),"Extremo",""))))</f>
        <v/>
      </c>
      <c r="R52" s="105">
        <v>1</v>
      </c>
      <c r="S52" s="226"/>
      <c r="T52" s="106" t="str">
        <f>IF(OR(U52="Preventivo",U52="Detectivo"),"Probabilidad",IF(U52="Correctivo","Impacto",""))</f>
        <v/>
      </c>
      <c r="U52" s="111"/>
      <c r="V52" s="111"/>
      <c r="W52" s="112" t="str">
        <f>IF(AND(U52="Preventivo",V52="Automático"),"50%",IF(AND(U52="Preventivo",V52="Manual"),"40%",IF(AND(U52="Detectivo",V52="Automático"),"40%",IF(AND(U52="Detectivo",V52="Manual"),"30%",IF(AND(U52="Correctivo",V52="Automático"),"35%",IF(AND(U52="Correctivo",V52="Manual"),"25%",""))))))</f>
        <v/>
      </c>
      <c r="X52" s="111"/>
      <c r="Y52" s="111"/>
      <c r="Z52" s="111"/>
      <c r="AA52" s="107" t="str">
        <f>IFERROR(IF(T52="Probabilidad",(L52-(+L52*W52)),IF(T52="Impacto",L52,"")),"")</f>
        <v/>
      </c>
      <c r="AB52" s="116" t="str">
        <f>IFERROR(IF(AA52="","",IF(AA52&lt;=0.2,"Muy Baja",IF(AA52&lt;=0.4,"Baja",IF(AA52&lt;=0.6,"Media",IF(AA52&lt;=0.8,"Alta","Muy Alta"))))),"")</f>
        <v/>
      </c>
      <c r="AC52" s="117" t="str">
        <f>+AA52</f>
        <v/>
      </c>
      <c r="AD52" s="116" t="str">
        <f>IFERROR(IF(AE52="","",IF(AE52&lt;=0.2,"Leve",IF(AE52&lt;=0.4,"Menor",IF(AE52&lt;=0.6,"Moderado",IF(AE52&lt;=0.8,"Mayor","Catastrófico"))))),"")</f>
        <v/>
      </c>
      <c r="AE52" s="117" t="str">
        <f>IFERROR(IF(T52="Impacto",(P52-(+P52*W52)),IF(T52="Probabilidad",P52,"")),"")</f>
        <v/>
      </c>
      <c r="AF52" s="118" t="str">
        <f>IFERROR(IF(OR(AND(AB52="Muy Baja",AD52="Leve"),AND(AB52="Muy Baja",AD52="Menor"),AND(AB52="Baja",AD52="Leve")),"Bajo",IF(OR(AND(AB52="Muy baja",AD52="Moderado"),AND(AB52="Baja",AD52="Menor"),AND(AB52="Baja",AD52="Moderado"),AND(AB52="Media",AD52="Leve"),AND(AB52="Media",AD52="Menor"),AND(AB52="Media",AD52="Moderado"),AND(AB52="Alta",AD52="Leve"),AND(AB52="Alta",AD52="Menor")),"Moderado",IF(OR(AND(AB52="Muy Baja",AD52="Mayor"),AND(AB52="Baja",AD52="Mayor"),AND(AB52="Media",AD52="Mayor"),AND(AB52="Alta",AD52="Moderado"),AND(AB52="Alta",AD52="Mayor"),AND(AB52="Muy Alta",AD52="Leve"),AND(AB52="Muy Alta",AD52="Menor"),AND(AB52="Muy Alta",AD52="Moderado"),AND(AB52="Muy Alta",AD52="Mayor")),"Alto",IF(OR(AND(AB52="Muy Baja",AD52="Catastrófico"),AND(AB52="Baja",AD52="Catastrófico"),AND(AB52="Media",AD52="Catastrófico"),AND(AB52="Alta",AD52="Catastrófico"),AND(AB52="Muy Alta",AD52="Catastrófico")),"Extremo","")))),"")</f>
        <v/>
      </c>
      <c r="AG52" s="119"/>
      <c r="AH52" s="108"/>
      <c r="AI52" s="109"/>
      <c r="AJ52" s="110"/>
      <c r="AK52" s="110"/>
      <c r="AL52" s="108"/>
      <c r="AM52" s="109"/>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row>
    <row r="53" spans="1:71" ht="19.5" customHeight="1" x14ac:dyDescent="0.25">
      <c r="A53" s="396"/>
      <c r="B53" s="417"/>
      <c r="C53" s="417"/>
      <c r="D53" s="417"/>
      <c r="E53" s="121"/>
      <c r="F53" s="414"/>
      <c r="G53" s="387"/>
      <c r="H53" s="124"/>
      <c r="I53" s="417"/>
      <c r="J53" s="410"/>
      <c r="K53" s="412"/>
      <c r="L53" s="430"/>
      <c r="M53" s="462"/>
      <c r="N53" s="430">
        <f>IF(NOT(ISERROR(MATCH(M53,_xlfn.ANCHORARRAY(F64),0))),L66&amp;"Por favor no seleccionar los criterios de impacto",M53)</f>
        <v>0</v>
      </c>
      <c r="O53" s="412"/>
      <c r="P53" s="430"/>
      <c r="Q53" s="432"/>
      <c r="R53" s="105">
        <v>2</v>
      </c>
      <c r="S53" s="226"/>
      <c r="T53" s="106" t="str">
        <f>IF(OR(U53="Preventivo",U53="Detectivo"),"Probabilidad",IF(U53="Correctivo","Impacto",""))</f>
        <v/>
      </c>
      <c r="U53" s="111"/>
      <c r="V53" s="111"/>
      <c r="W53" s="112" t="str">
        <f t="shared" ref="W53:W57" si="94">IF(AND(U53="Preventivo",V53="Automático"),"50%",IF(AND(U53="Preventivo",V53="Manual"),"40%",IF(AND(U53="Detectivo",V53="Automático"),"40%",IF(AND(U53="Detectivo",V53="Manual"),"30%",IF(AND(U53="Correctivo",V53="Automático"),"35%",IF(AND(U53="Correctivo",V53="Manual"),"25%",""))))))</f>
        <v/>
      </c>
      <c r="X53" s="111"/>
      <c r="Y53" s="111"/>
      <c r="Z53" s="111"/>
      <c r="AA53" s="107" t="str">
        <f>IFERROR(IF(AND(T52="Probabilidad",T53="Probabilidad"),(AC52-(+AC52*W53)),IF(AND(T52="Impacto",T53="Probabilidad"),(L52-(+L52*W53)),IF(T53="Impacto",AC52,""))),"")</f>
        <v/>
      </c>
      <c r="AB53" s="116" t="str">
        <f t="shared" ref="AB53:AB57" si="95">IFERROR(IF(AA53="","",IF(AA53&lt;=0.2,"Muy Baja",IF(AA53&lt;=0.4,"Baja",IF(AA53&lt;=0.6,"Media",IF(AA53&lt;=0.8,"Alta","Muy Alta"))))),"")</f>
        <v/>
      </c>
      <c r="AC53" s="117" t="str">
        <f>+AA53</f>
        <v/>
      </c>
      <c r="AD53" s="116" t="str">
        <f t="shared" ref="AD53:AD57" si="96">IFERROR(IF(AE53="","",IF(AE53&lt;=0.2,"Leve",IF(AE53&lt;=0.4,"Menor",IF(AE53&lt;=0.6,"Moderado",IF(AE53&lt;=0.8,"Mayor","Catastrófico"))))),"")</f>
        <v/>
      </c>
      <c r="AE53" s="117" t="str">
        <f>IFERROR(IF(AND(T52="Impacto",T53="Impacto"),(AE52-(+AE52*W53)),IF(AND(T52="Probabilidad",T53="Impacto"),(P52-(+P52*W53)),IF(T53="Probabilidad",AE52,""))),"")</f>
        <v/>
      </c>
      <c r="AF53" s="118" t="str">
        <f t="shared" ref="AF53:AF57" si="97">IFERROR(IF(OR(AND(AB53="Muy Baja",AD53="Leve"),AND(AB53="Muy Baja",AD53="Menor"),AND(AB53="Baja",AD53="Leve")),"Bajo",IF(OR(AND(AB53="Muy baja",AD53="Moderado"),AND(AB53="Baja",AD53="Menor"),AND(AB53="Baja",AD53="Moderado"),AND(AB53="Media",AD53="Leve"),AND(AB53="Media",AD53="Menor"),AND(AB53="Media",AD53="Moderado"),AND(AB53="Alta",AD53="Leve"),AND(AB53="Alta",AD53="Menor")),"Moderado",IF(OR(AND(AB53="Muy Baja",AD53="Mayor"),AND(AB53="Baja",AD53="Mayor"),AND(AB53="Media",AD53="Mayor"),AND(AB53="Alta",AD53="Moderado"),AND(AB53="Alta",AD53="Mayor"),AND(AB53="Muy Alta",AD53="Leve"),AND(AB53="Muy Alta",AD53="Menor"),AND(AB53="Muy Alta",AD53="Moderado"),AND(AB53="Muy Alta",AD53="Mayor")),"Alto",IF(OR(AND(AB53="Muy Baja",AD53="Catastrófico"),AND(AB53="Baja",AD53="Catastrófico"),AND(AB53="Media",AD53="Catastrófico"),AND(AB53="Alta",AD53="Catastrófico"),AND(AB53="Muy Alta",AD53="Catastrófico")),"Extremo","")))),"")</f>
        <v/>
      </c>
      <c r="AG53" s="119"/>
      <c r="AH53" s="108"/>
      <c r="AI53" s="109"/>
      <c r="AJ53" s="110"/>
      <c r="AK53" s="110"/>
      <c r="AL53" s="108"/>
      <c r="AM53" s="109"/>
    </row>
    <row r="54" spans="1:71" ht="19.5" customHeight="1" x14ac:dyDescent="0.25">
      <c r="A54" s="396"/>
      <c r="B54" s="417"/>
      <c r="C54" s="417"/>
      <c r="D54" s="417"/>
      <c r="E54" s="121"/>
      <c r="F54" s="414"/>
      <c r="G54" s="387"/>
      <c r="H54" s="124"/>
      <c r="I54" s="417"/>
      <c r="J54" s="410"/>
      <c r="K54" s="412"/>
      <c r="L54" s="430"/>
      <c r="M54" s="462"/>
      <c r="N54" s="430">
        <f>IF(NOT(ISERROR(MATCH(M54,_xlfn.ANCHORARRAY(F65),0))),L67&amp;"Por favor no seleccionar los criterios de impacto",M54)</f>
        <v>0</v>
      </c>
      <c r="O54" s="412"/>
      <c r="P54" s="430"/>
      <c r="Q54" s="432"/>
      <c r="R54" s="105">
        <v>3</v>
      </c>
      <c r="S54" s="228"/>
      <c r="T54" s="106" t="str">
        <f t="shared" ref="T54:T57" si="98">IF(OR(U54="Preventivo",U54="Detectivo"),"Probabilidad",IF(U54="Correctivo","Impacto",""))</f>
        <v/>
      </c>
      <c r="U54" s="111"/>
      <c r="V54" s="111"/>
      <c r="W54" s="112" t="str">
        <f t="shared" si="94"/>
        <v/>
      </c>
      <c r="X54" s="111"/>
      <c r="Y54" s="111"/>
      <c r="Z54" s="111"/>
      <c r="AA54" s="107" t="str">
        <f>IFERROR(IF(AND(T53="Probabilidad",T54="Probabilidad"),(AC53-(+AC53*W54)),IF(AND(T53="Impacto",T54="Probabilidad"),(AC52-(+AC52*W54)),IF(T54="Impacto",AC53,""))),"")</f>
        <v/>
      </c>
      <c r="AB54" s="116" t="str">
        <f t="shared" si="95"/>
        <v/>
      </c>
      <c r="AC54" s="117" t="str">
        <f t="shared" ref="AC54:AC57" si="99">+AA54</f>
        <v/>
      </c>
      <c r="AD54" s="116" t="str">
        <f t="shared" si="96"/>
        <v/>
      </c>
      <c r="AE54" s="117" t="str">
        <f t="shared" ref="AE54:AE57" si="100">IFERROR(IF(AND(T53="Impacto",T54="Impacto"),(AE53-(+AE53*W54)),IF(AND(T53="Probabilidad",T54="Impacto"),(AE52-(+AE52*W54)),IF(T54="Probabilidad",AE53,""))),"")</f>
        <v/>
      </c>
      <c r="AF54" s="118" t="str">
        <f t="shared" si="97"/>
        <v/>
      </c>
      <c r="AG54" s="119"/>
      <c r="AH54" s="108"/>
      <c r="AI54" s="109"/>
      <c r="AJ54" s="110"/>
      <c r="AK54" s="110"/>
      <c r="AL54" s="108"/>
      <c r="AM54" s="109"/>
    </row>
    <row r="55" spans="1:71" ht="19.5" customHeight="1" x14ac:dyDescent="0.25">
      <c r="A55" s="396"/>
      <c r="B55" s="417"/>
      <c r="C55" s="417"/>
      <c r="D55" s="417"/>
      <c r="E55" s="121"/>
      <c r="F55" s="414"/>
      <c r="G55" s="387"/>
      <c r="H55" s="124"/>
      <c r="I55" s="417"/>
      <c r="J55" s="410"/>
      <c r="K55" s="412"/>
      <c r="L55" s="430"/>
      <c r="M55" s="462"/>
      <c r="N55" s="430">
        <f>IF(NOT(ISERROR(MATCH(M55,_xlfn.ANCHORARRAY(F66),0))),L68&amp;"Por favor no seleccionar los criterios de impacto",M55)</f>
        <v>0</v>
      </c>
      <c r="O55" s="412"/>
      <c r="P55" s="430"/>
      <c r="Q55" s="432"/>
      <c r="R55" s="105">
        <v>4</v>
      </c>
      <c r="S55" s="226"/>
      <c r="T55" s="106" t="str">
        <f t="shared" si="98"/>
        <v/>
      </c>
      <c r="U55" s="111"/>
      <c r="V55" s="111"/>
      <c r="W55" s="112" t="str">
        <f t="shared" si="94"/>
        <v/>
      </c>
      <c r="X55" s="111"/>
      <c r="Y55" s="111"/>
      <c r="Z55" s="111"/>
      <c r="AA55" s="107" t="str">
        <f t="shared" ref="AA55:AA57" si="101">IFERROR(IF(AND(T54="Probabilidad",T55="Probabilidad"),(AC54-(+AC54*W55)),IF(AND(T54="Impacto",T55="Probabilidad"),(AC53-(+AC53*W55)),IF(T55="Impacto",AC54,""))),"")</f>
        <v/>
      </c>
      <c r="AB55" s="116" t="str">
        <f t="shared" si="95"/>
        <v/>
      </c>
      <c r="AC55" s="117" t="str">
        <f t="shared" si="99"/>
        <v/>
      </c>
      <c r="AD55" s="116" t="str">
        <f t="shared" si="96"/>
        <v/>
      </c>
      <c r="AE55" s="117" t="str">
        <f t="shared" si="100"/>
        <v/>
      </c>
      <c r="AF55" s="118" t="str">
        <f t="shared" si="97"/>
        <v/>
      </c>
      <c r="AG55" s="119"/>
      <c r="AH55" s="108"/>
      <c r="AI55" s="109"/>
      <c r="AJ55" s="110"/>
      <c r="AK55" s="110"/>
      <c r="AL55" s="108"/>
      <c r="AM55" s="109"/>
    </row>
    <row r="56" spans="1:71" ht="19.5" customHeight="1" x14ac:dyDescent="0.25">
      <c r="A56" s="396"/>
      <c r="B56" s="417"/>
      <c r="C56" s="417"/>
      <c r="D56" s="417"/>
      <c r="E56" s="121"/>
      <c r="F56" s="414"/>
      <c r="G56" s="387"/>
      <c r="H56" s="124"/>
      <c r="I56" s="417"/>
      <c r="J56" s="410"/>
      <c r="K56" s="412"/>
      <c r="L56" s="430"/>
      <c r="M56" s="462"/>
      <c r="N56" s="430">
        <f>IF(NOT(ISERROR(MATCH(M56,_xlfn.ANCHORARRAY(F67),0))),L69&amp;"Por favor no seleccionar los criterios de impacto",M56)</f>
        <v>0</v>
      </c>
      <c r="O56" s="412"/>
      <c r="P56" s="430"/>
      <c r="Q56" s="432"/>
      <c r="R56" s="105">
        <v>5</v>
      </c>
      <c r="S56" s="226"/>
      <c r="T56" s="106" t="str">
        <f t="shared" si="98"/>
        <v/>
      </c>
      <c r="U56" s="111"/>
      <c r="V56" s="111"/>
      <c r="W56" s="112" t="str">
        <f t="shared" si="94"/>
        <v/>
      </c>
      <c r="X56" s="111"/>
      <c r="Y56" s="111"/>
      <c r="Z56" s="111"/>
      <c r="AA56" s="107" t="str">
        <f t="shared" si="101"/>
        <v/>
      </c>
      <c r="AB56" s="116" t="str">
        <f t="shared" si="95"/>
        <v/>
      </c>
      <c r="AC56" s="117" t="str">
        <f t="shared" si="99"/>
        <v/>
      </c>
      <c r="AD56" s="116" t="str">
        <f t="shared" si="96"/>
        <v/>
      </c>
      <c r="AE56" s="117" t="str">
        <f t="shared" si="100"/>
        <v/>
      </c>
      <c r="AF56" s="118" t="str">
        <f t="shared" si="97"/>
        <v/>
      </c>
      <c r="AG56" s="119"/>
      <c r="AH56" s="108"/>
      <c r="AI56" s="109"/>
      <c r="AJ56" s="110"/>
      <c r="AK56" s="110"/>
      <c r="AL56" s="108"/>
      <c r="AM56" s="109"/>
    </row>
    <row r="57" spans="1:71" ht="19.5" customHeight="1" x14ac:dyDescent="0.25">
      <c r="A57" s="463"/>
      <c r="B57" s="418"/>
      <c r="C57" s="418"/>
      <c r="D57" s="418"/>
      <c r="E57" s="122"/>
      <c r="F57" s="415"/>
      <c r="G57" s="388"/>
      <c r="H57" s="125"/>
      <c r="I57" s="418"/>
      <c r="J57" s="419"/>
      <c r="K57" s="420"/>
      <c r="L57" s="468"/>
      <c r="M57" s="469"/>
      <c r="N57" s="468">
        <f>IF(NOT(ISERROR(MATCH(M57,_xlfn.ANCHORARRAY(F68),0))),L70&amp;"Por favor no seleccionar los criterios de impacto",M57)</f>
        <v>0</v>
      </c>
      <c r="O57" s="420"/>
      <c r="P57" s="468"/>
      <c r="Q57" s="470"/>
      <c r="R57" s="105">
        <v>6</v>
      </c>
      <c r="S57" s="226"/>
      <c r="T57" s="106" t="str">
        <f t="shared" si="98"/>
        <v/>
      </c>
      <c r="U57" s="111"/>
      <c r="V57" s="111"/>
      <c r="W57" s="112" t="str">
        <f t="shared" si="94"/>
        <v/>
      </c>
      <c r="X57" s="111"/>
      <c r="Y57" s="111"/>
      <c r="Z57" s="111"/>
      <c r="AA57" s="107" t="str">
        <f t="shared" si="101"/>
        <v/>
      </c>
      <c r="AB57" s="116" t="str">
        <f t="shared" si="95"/>
        <v/>
      </c>
      <c r="AC57" s="117" t="str">
        <f t="shared" si="99"/>
        <v/>
      </c>
      <c r="AD57" s="116" t="str">
        <f t="shared" si="96"/>
        <v/>
      </c>
      <c r="AE57" s="117" t="str">
        <f t="shared" si="100"/>
        <v/>
      </c>
      <c r="AF57" s="118" t="str">
        <f t="shared" si="97"/>
        <v/>
      </c>
      <c r="AG57" s="119"/>
      <c r="AH57" s="108"/>
      <c r="AI57" s="109"/>
      <c r="AJ57" s="110"/>
      <c r="AK57" s="110"/>
      <c r="AL57" s="108"/>
      <c r="AM57" s="109"/>
    </row>
    <row r="58" spans="1:71" ht="49.5" customHeight="1" x14ac:dyDescent="0.25">
      <c r="A58" s="6"/>
      <c r="B58" s="481" t="s">
        <v>126</v>
      </c>
      <c r="C58" s="482"/>
      <c r="D58" s="482"/>
      <c r="E58" s="482"/>
      <c r="F58" s="482"/>
      <c r="G58" s="482"/>
      <c r="H58" s="482"/>
      <c r="I58" s="482"/>
      <c r="J58" s="482"/>
      <c r="K58" s="482"/>
      <c r="L58" s="482"/>
      <c r="M58" s="482"/>
      <c r="N58" s="482"/>
      <c r="O58" s="482"/>
      <c r="P58" s="482"/>
      <c r="Q58" s="482"/>
      <c r="R58" s="482"/>
      <c r="S58" s="482"/>
      <c r="T58" s="482"/>
      <c r="U58" s="482"/>
      <c r="V58" s="482"/>
      <c r="W58" s="482"/>
      <c r="X58" s="482"/>
      <c r="Y58" s="482"/>
      <c r="Z58" s="482"/>
      <c r="AA58" s="482"/>
      <c r="AB58" s="482"/>
      <c r="AC58" s="482"/>
      <c r="AD58" s="482"/>
      <c r="AE58" s="482"/>
      <c r="AF58" s="482"/>
      <c r="AG58" s="482"/>
      <c r="AH58" s="482"/>
      <c r="AI58" s="482"/>
      <c r="AJ58" s="482"/>
      <c r="AK58" s="482"/>
      <c r="AL58" s="482"/>
      <c r="AM58" s="483"/>
    </row>
    <row r="60" spans="1:71" x14ac:dyDescent="0.3">
      <c r="A60" s="1"/>
      <c r="B60" s="24" t="s">
        <v>138</v>
      </c>
      <c r="C60" s="1"/>
      <c r="D60" s="1"/>
      <c r="E60" s="1"/>
      <c r="I60" s="1"/>
    </row>
  </sheetData>
  <dataConsolidate/>
  <mergeCells count="198">
    <mergeCell ref="C6:AM6"/>
    <mergeCell ref="A1:AM2"/>
    <mergeCell ref="A7:J7"/>
    <mergeCell ref="K7:Q7"/>
    <mergeCell ref="R7:Z7"/>
    <mergeCell ref="AA7:AG7"/>
    <mergeCell ref="AH7:AM7"/>
    <mergeCell ref="B58:AM58"/>
    <mergeCell ref="P46:P51"/>
    <mergeCell ref="Q46:Q51"/>
    <mergeCell ref="A52:A57"/>
    <mergeCell ref="B52:B57"/>
    <mergeCell ref="C52:C57"/>
    <mergeCell ref="D52:D57"/>
    <mergeCell ref="F52:F57"/>
    <mergeCell ref="I52:I57"/>
    <mergeCell ref="J52:J57"/>
    <mergeCell ref="K52:K57"/>
    <mergeCell ref="L52:L57"/>
    <mergeCell ref="M52:M57"/>
    <mergeCell ref="N52:N57"/>
    <mergeCell ref="O52:O57"/>
    <mergeCell ref="P52:P57"/>
    <mergeCell ref="Q52:Q57"/>
    <mergeCell ref="M46:M51"/>
    <mergeCell ref="N46:N51"/>
    <mergeCell ref="O46:O51"/>
    <mergeCell ref="A46:A51"/>
    <mergeCell ref="B46:B51"/>
    <mergeCell ref="C46:C51"/>
    <mergeCell ref="D46:D51"/>
    <mergeCell ref="L46:L51"/>
    <mergeCell ref="P34:P39"/>
    <mergeCell ref="G46:G51"/>
    <mergeCell ref="Q34:Q39"/>
    <mergeCell ref="I40:I45"/>
    <mergeCell ref="J40:J45"/>
    <mergeCell ref="K40:K45"/>
    <mergeCell ref="L40:L45"/>
    <mergeCell ref="M40:M45"/>
    <mergeCell ref="I34:I39"/>
    <mergeCell ref="J34:J39"/>
    <mergeCell ref="K34:K39"/>
    <mergeCell ref="L34:L39"/>
    <mergeCell ref="N40:N45"/>
    <mergeCell ref="O40:O45"/>
    <mergeCell ref="P40:P45"/>
    <mergeCell ref="Q40:Q45"/>
    <mergeCell ref="L22:L27"/>
    <mergeCell ref="M22:M27"/>
    <mergeCell ref="J28:J33"/>
    <mergeCell ref="K28:K33"/>
    <mergeCell ref="L28:L33"/>
    <mergeCell ref="N22:N27"/>
    <mergeCell ref="O22:O27"/>
    <mergeCell ref="A40:A45"/>
    <mergeCell ref="B40:B45"/>
    <mergeCell ref="C40:C45"/>
    <mergeCell ref="D40:D45"/>
    <mergeCell ref="F40:F45"/>
    <mergeCell ref="A34:A39"/>
    <mergeCell ref="B34:B39"/>
    <mergeCell ref="C34:C39"/>
    <mergeCell ref="D34:D39"/>
    <mergeCell ref="F34:F39"/>
    <mergeCell ref="G22:G27"/>
    <mergeCell ref="G28:G33"/>
    <mergeCell ref="G34:G39"/>
    <mergeCell ref="G40:G45"/>
    <mergeCell ref="P22:P27"/>
    <mergeCell ref="Q22:Q27"/>
    <mergeCell ref="P28:P33"/>
    <mergeCell ref="Q28:Q33"/>
    <mergeCell ref="M34:M39"/>
    <mergeCell ref="N34:N39"/>
    <mergeCell ref="O34:O39"/>
    <mergeCell ref="A22:A27"/>
    <mergeCell ref="B22:B27"/>
    <mergeCell ref="C22:C27"/>
    <mergeCell ref="A28:A33"/>
    <mergeCell ref="B28:B33"/>
    <mergeCell ref="C28:C33"/>
    <mergeCell ref="D28:D33"/>
    <mergeCell ref="F28:F33"/>
    <mergeCell ref="I28:I33"/>
    <mergeCell ref="D22:D27"/>
    <mergeCell ref="F22:F27"/>
    <mergeCell ref="M28:M33"/>
    <mergeCell ref="N28:N33"/>
    <mergeCell ref="O28:O33"/>
    <mergeCell ref="I22:I27"/>
    <mergeCell ref="J22:J27"/>
    <mergeCell ref="K22:K27"/>
    <mergeCell ref="P14:P15"/>
    <mergeCell ref="Q14:Q15"/>
    <mergeCell ref="A16:A21"/>
    <mergeCell ref="B16:B21"/>
    <mergeCell ref="C16:C21"/>
    <mergeCell ref="D16:D21"/>
    <mergeCell ref="F16:F21"/>
    <mergeCell ref="I16:I21"/>
    <mergeCell ref="J16:J21"/>
    <mergeCell ref="K16:K21"/>
    <mergeCell ref="L16:L21"/>
    <mergeCell ref="M16:M21"/>
    <mergeCell ref="N16:N21"/>
    <mergeCell ref="O16:O21"/>
    <mergeCell ref="P16:P21"/>
    <mergeCell ref="Q16:Q21"/>
    <mergeCell ref="L14:L15"/>
    <mergeCell ref="M14:M15"/>
    <mergeCell ref="N14:N15"/>
    <mergeCell ref="O14:O15"/>
    <mergeCell ref="G14:G15"/>
    <mergeCell ref="G16:G21"/>
    <mergeCell ref="J12:J13"/>
    <mergeCell ref="K12:K13"/>
    <mergeCell ref="L12:L13"/>
    <mergeCell ref="M12:M13"/>
    <mergeCell ref="AH8:AH9"/>
    <mergeCell ref="AM8:AM9"/>
    <mergeCell ref="AL8:AL9"/>
    <mergeCell ref="AK8:AK9"/>
    <mergeCell ref="AJ8:AJ9"/>
    <mergeCell ref="AI8:AI9"/>
    <mergeCell ref="AC8:AC9"/>
    <mergeCell ref="A4:B4"/>
    <mergeCell ref="A5:B5"/>
    <mergeCell ref="A6:B6"/>
    <mergeCell ref="A8:A9"/>
    <mergeCell ref="I8:I9"/>
    <mergeCell ref="F8:F9"/>
    <mergeCell ref="D8:D9"/>
    <mergeCell ref="C8:C9"/>
    <mergeCell ref="AG8:AG9"/>
    <mergeCell ref="R8:R9"/>
    <mergeCell ref="AF8:AF9"/>
    <mergeCell ref="AE8:AE9"/>
    <mergeCell ref="AA8:AA9"/>
    <mergeCell ref="S8:S9"/>
    <mergeCell ref="AD8:AD9"/>
    <mergeCell ref="AB8:AB9"/>
    <mergeCell ref="C4:AM4"/>
    <mergeCell ref="C5:AM5"/>
    <mergeCell ref="B8:B9"/>
    <mergeCell ref="Q8:Q9"/>
    <mergeCell ref="M8:M9"/>
    <mergeCell ref="N8:N9"/>
    <mergeCell ref="T8:T9"/>
    <mergeCell ref="U8:Z8"/>
    <mergeCell ref="E8:E9"/>
    <mergeCell ref="D12:D13"/>
    <mergeCell ref="F12:F13"/>
    <mergeCell ref="N12:N13"/>
    <mergeCell ref="O12:O13"/>
    <mergeCell ref="P12:P13"/>
    <mergeCell ref="Q12:Q13"/>
    <mergeCell ref="B12:B13"/>
    <mergeCell ref="C12:C13"/>
    <mergeCell ref="Q10:Q11"/>
    <mergeCell ref="L10:L11"/>
    <mergeCell ref="M10:M11"/>
    <mergeCell ref="N10:N11"/>
    <mergeCell ref="O10:O11"/>
    <mergeCell ref="P10:P11"/>
    <mergeCell ref="H10:H11"/>
    <mergeCell ref="G10:G11"/>
    <mergeCell ref="J8:J9"/>
    <mergeCell ref="K8:K9"/>
    <mergeCell ref="L8:L9"/>
    <mergeCell ref="O8:O9"/>
    <mergeCell ref="P8:P9"/>
    <mergeCell ref="G12:G13"/>
    <mergeCell ref="I12:I13"/>
    <mergeCell ref="G52:G57"/>
    <mergeCell ref="I10:I11"/>
    <mergeCell ref="J10:J11"/>
    <mergeCell ref="K10:K11"/>
    <mergeCell ref="A10:A11"/>
    <mergeCell ref="B10:B11"/>
    <mergeCell ref="C10:C11"/>
    <mergeCell ref="D10:D11"/>
    <mergeCell ref="F10:F11"/>
    <mergeCell ref="A14:A15"/>
    <mergeCell ref="B14:B15"/>
    <mergeCell ref="C14:C15"/>
    <mergeCell ref="D14:D15"/>
    <mergeCell ref="F14:F15"/>
    <mergeCell ref="I14:I15"/>
    <mergeCell ref="J14:J15"/>
    <mergeCell ref="K14:K15"/>
    <mergeCell ref="A12:A13"/>
    <mergeCell ref="F46:F51"/>
    <mergeCell ref="I46:I51"/>
    <mergeCell ref="J46:J51"/>
    <mergeCell ref="K46:K51"/>
    <mergeCell ref="H12:H13"/>
    <mergeCell ref="H14:H15"/>
  </mergeCells>
  <conditionalFormatting sqref="K10 AB10:AB57 K12 K14 K16 K22 K28 K34 K40 K46 K52">
    <cfRule type="cellIs" dxfId="18" priority="641" operator="equal">
      <formula>"Muy Alta"</formula>
    </cfRule>
    <cfRule type="cellIs" dxfId="17" priority="642" operator="equal">
      <formula>"Alta"</formula>
    </cfRule>
    <cfRule type="cellIs" dxfId="16" priority="643" operator="equal">
      <formula>"Media"</formula>
    </cfRule>
    <cfRule type="cellIs" dxfId="15" priority="644" operator="equal">
      <formula>"Baja"</formula>
    </cfRule>
    <cfRule type="cellIs" dxfId="14" priority="645" operator="equal">
      <formula>"Muy Baja"</formula>
    </cfRule>
  </conditionalFormatting>
  <conditionalFormatting sqref="N10:N57">
    <cfRule type="containsText" dxfId="13" priority="323" operator="containsText" text="❌">
      <formula>NOT(ISERROR(SEARCH("❌",N10)))</formula>
    </cfRule>
  </conditionalFormatting>
  <conditionalFormatting sqref="O10 AD10:AD57 O12 O14 O16 O22 O28 O34 O40 O46 O52">
    <cfRule type="cellIs" dxfId="12" priority="636" operator="equal">
      <formula>"Catastrófico"</formula>
    </cfRule>
    <cfRule type="cellIs" dxfId="11" priority="637" operator="equal">
      <formula>"Mayor"</formula>
    </cfRule>
    <cfRule type="cellIs" dxfId="10" priority="638" operator="equal">
      <formula>"Moderado"</formula>
    </cfRule>
    <cfRule type="cellIs" dxfId="9" priority="639" operator="equal">
      <formula>"Menor"</formula>
    </cfRule>
    <cfRule type="cellIs" dxfId="8" priority="640" operator="equal">
      <formula>"Leve"</formula>
    </cfRule>
  </conditionalFormatting>
  <conditionalFormatting sqref="Q10 AF10:AF57">
    <cfRule type="cellIs" dxfId="7" priority="632" operator="equal">
      <formula>"Extremo"</formula>
    </cfRule>
    <cfRule type="cellIs" dxfId="6" priority="633" operator="equal">
      <formula>"Alto"</formula>
    </cfRule>
    <cfRule type="cellIs" dxfId="5" priority="634" operator="equal">
      <formula>"Moderado"</formula>
    </cfRule>
    <cfRule type="cellIs" dxfId="4" priority="635" operator="equal">
      <formula>"Bajo"</formula>
    </cfRule>
  </conditionalFormatting>
  <conditionalFormatting sqref="Q12 Q14 Q16 Q22 Q28 Q34 Q40 Q46 Q52">
    <cfRule type="cellIs" dxfId="3" priority="562" operator="equal">
      <formula>"Extremo"</formula>
    </cfRule>
    <cfRule type="cellIs" dxfId="2" priority="563" operator="equal">
      <formula>"Alto"</formula>
    </cfRule>
    <cfRule type="cellIs" dxfId="1" priority="564" operator="equal">
      <formula>"Moderado"</formula>
    </cfRule>
    <cfRule type="cellIs" dxfId="0" priority="565" operator="equal">
      <formula>"Bajo"</formula>
    </cfRule>
  </conditionalFormatting>
  <dataValidations count="1">
    <dataValidation type="list" allowBlank="1" showInputMessage="1" showErrorMessage="1" sqref="G10:G57" xr:uid="{00000000-0002-0000-0400-000000000000}">
      <formula1>"Gestión, FISCAL,"</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400-000001000000}">
          <x14:formula1>
            <xm:f>'Opciones Tratamiento'!$B$9:$B$10</xm:f>
          </x14:formula1>
          <xm:sqref>AM55:AM56 AM19:AM20 AM22:AM23 AM25:AM26 AM28:AM29 AM31:AM32 AM34:AM35 AM37:AM38 AM40:AM41 AM43:AM44 AM46:AM47 AM49:AM50 AM52:AM53 AM10:AM17</xm:sqref>
        </x14:dataValidation>
        <x14:dataValidation type="list" allowBlank="1" showInputMessage="1" showErrorMessage="1" xr:uid="{00000000-0002-0000-0400-000002000000}">
          <x14:formula1>
            <xm:f>'Opciones Tratamiento'!$B$2:$B$5</xm:f>
          </x14:formula1>
          <xm:sqref>AG18:AG22 AG24:AG28 AG30:AG34 AG36:AG40 AG42:AG46 AG48:AG52 AG54:AG57 AG10:AG16</xm:sqref>
        </x14:dataValidation>
        <x14:dataValidation type="list" allowBlank="1" showInputMessage="1" showErrorMessage="1" xr:uid="{00000000-0002-0000-0400-000003000000}">
          <x14:formula1>
            <xm:f>'C:\Users\HOME\Downloads\[Formato Matriz de Riesgos 2021 (1).xlsx]Opciones Tratamiento'!#REF!</xm:f>
          </x14:formula1>
          <xm:sqref>AG53 AG47 AG41 AG17 AG23 AG29 AG35</xm:sqref>
        </x14:dataValidation>
        <x14:dataValidation type="list" allowBlank="1" showInputMessage="1" showErrorMessage="1" xr:uid="{00000000-0002-0000-0400-000004000000}">
          <x14:formula1>
            <xm:f>'Tabla Valoración controles'!$D$4:$D$6</xm:f>
          </x14:formula1>
          <xm:sqref>U10:U57</xm:sqref>
        </x14:dataValidation>
        <x14:dataValidation type="list" allowBlank="1" showInputMessage="1" showErrorMessage="1" xr:uid="{00000000-0002-0000-0400-000005000000}">
          <x14:formula1>
            <xm:f>'Tabla Valoración controles'!$D$7:$D$8</xm:f>
          </x14:formula1>
          <xm:sqref>V10:V57</xm:sqref>
        </x14:dataValidation>
        <x14:dataValidation type="list" allowBlank="1" showInputMessage="1" showErrorMessage="1" xr:uid="{00000000-0002-0000-0400-000006000000}">
          <x14:formula1>
            <xm:f>'Tabla Valoración controles'!$D$9:$D$10</xm:f>
          </x14:formula1>
          <xm:sqref>X10:X57</xm:sqref>
        </x14:dataValidation>
        <x14:dataValidation type="list" allowBlank="1" showInputMessage="1" showErrorMessage="1" xr:uid="{00000000-0002-0000-0400-000007000000}">
          <x14:formula1>
            <xm:f>'Tabla Valoración controles'!$D$11:$D$12</xm:f>
          </x14:formula1>
          <xm:sqref>Y10:Y57</xm:sqref>
        </x14:dataValidation>
        <x14:dataValidation type="list" allowBlank="1" showInputMessage="1" showErrorMessage="1" xr:uid="{00000000-0002-0000-0400-000008000000}">
          <x14:formula1>
            <xm:f>'Tabla Valoración controles'!$D$13:$D$14</xm:f>
          </x14:formula1>
          <xm:sqref>Z10:Z57</xm:sqref>
        </x14:dataValidation>
        <x14:dataValidation type="list" allowBlank="1" showInputMessage="1" showErrorMessage="1" xr:uid="{00000000-0002-0000-0400-000009000000}">
          <x14:formula1>
            <xm:f>'Opciones Tratamiento'!$B$13:$B$19</xm:f>
          </x14:formula1>
          <xm:sqref>I10:I57</xm:sqref>
        </x14:dataValidation>
        <x14:dataValidation type="list" allowBlank="1" showInputMessage="1" showErrorMessage="1" xr:uid="{00000000-0002-0000-0400-00000A000000}">
          <x14:formula1>
            <xm:f>'Opciones Tratamiento'!$E$2:$E$4</xm:f>
          </x14:formula1>
          <xm:sqref>B10:B57</xm:sqref>
        </x14:dataValidation>
        <x14:dataValidation type="list" allowBlank="1" showInputMessage="1" showErrorMessage="1" xr:uid="{00000000-0002-0000-0400-00000B000000}">
          <x14:formula1>
            <xm:f>'Tabla Impacto'!$F$210:$F$221</xm:f>
          </x14:formula1>
          <xm:sqref>M10:M57</xm:sqref>
        </x14:dataValidation>
        <x14:dataValidation type="custom" allowBlank="1" showInputMessage="1" showErrorMessage="1" error="Recuerde que las acciones se generan bajo la medida de mitigar el riesgo" xr:uid="{00000000-0002-0000-0400-00000C000000}">
          <x14:formula1>
            <xm:f>IF(OR(AG10='Opciones Tratamiento'!$B$2,AG10='Opciones Tratamiento'!$B$3,AG10='Opciones Tratamiento'!$B$4),ISBLANK(AG10),ISTEXT(AG10))</xm:f>
          </x14:formula1>
          <xm:sqref>AH10:AH57</xm:sqref>
        </x14:dataValidation>
        <x14:dataValidation type="custom" allowBlank="1" showInputMessage="1" showErrorMessage="1" error="Recuerde que las acciones se generan bajo la medida de mitigar el riesgo" xr:uid="{00000000-0002-0000-0400-00000D000000}">
          <x14:formula1>
            <xm:f>IF(OR(AG10='Opciones Tratamiento'!$B$2,AG10='Opciones Tratamiento'!$B$3,AG10='Opciones Tratamiento'!$B$4),ISBLANK(AG10),ISTEXT(AG10))</xm:f>
          </x14:formula1>
          <xm:sqref>AI10:AI57</xm:sqref>
        </x14:dataValidation>
        <x14:dataValidation type="custom" allowBlank="1" showInputMessage="1" showErrorMessage="1" error="Recuerde que las acciones se generan bajo la medida de mitigar el riesgo" xr:uid="{00000000-0002-0000-0400-00000E000000}">
          <x14:formula1>
            <xm:f>IF(OR(AG10='Opciones Tratamiento'!$B$2,AG10='Opciones Tratamiento'!$B$3,AG10='Opciones Tratamiento'!$B$4),ISBLANK(AG10),ISTEXT(AG10))</xm:f>
          </x14:formula1>
          <xm:sqref>AJ10:AJ57</xm:sqref>
        </x14:dataValidation>
        <x14:dataValidation type="custom" allowBlank="1" showInputMessage="1" showErrorMessage="1" error="Recuerde que las acciones se generan bajo la medida de mitigar el riesgo" xr:uid="{00000000-0002-0000-0400-00000F000000}">
          <x14:formula1>
            <xm:f>IF(OR(AG10='Opciones Tratamiento'!$B$2,AG10='Opciones Tratamiento'!$B$3,AG10='Opciones Tratamiento'!$B$4),ISBLANK(AG10),ISTEXT(AG10))</xm:f>
          </x14:formula1>
          <xm:sqref>AK10:AK57</xm:sqref>
        </x14:dataValidation>
        <x14:dataValidation type="custom" allowBlank="1" showInputMessage="1" showErrorMessage="1" error="Recuerde que las acciones se generan bajo la medida de mitigar el riesgo" xr:uid="{00000000-0002-0000-0400-000010000000}">
          <x14:formula1>
            <xm:f>IF(OR(AG10='Opciones Tratamiento'!$B$2,AG10='Opciones Tratamiento'!$B$3,AG10='Opciones Tratamiento'!$B$4),ISBLANK(AG10),ISTEXT(AG10))</xm:f>
          </x14:formula1>
          <xm:sqref>AL10:AL57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U140"/>
  <sheetViews>
    <sheetView zoomScale="70" zoomScaleNormal="70" workbookViewId="0">
      <selection activeCell="AB22" sqref="AB22:AC23"/>
    </sheetView>
  </sheetViews>
  <sheetFormatPr baseColWidth="10" defaultRowHeight="14.4" x14ac:dyDescent="0.3"/>
  <cols>
    <col min="2" max="39" width="5.6640625" customWidth="1"/>
    <col min="41" max="46" width="5.6640625" customWidth="1"/>
  </cols>
  <sheetData>
    <row r="1" spans="1:99"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row>
    <row r="2" spans="1:99" ht="18" customHeight="1" x14ac:dyDescent="0.3">
      <c r="A2" s="67"/>
      <c r="B2" s="484" t="s">
        <v>150</v>
      </c>
      <c r="C2" s="484"/>
      <c r="D2" s="484"/>
      <c r="E2" s="484"/>
      <c r="F2" s="484"/>
      <c r="G2" s="484"/>
      <c r="H2" s="484"/>
      <c r="I2" s="484"/>
      <c r="J2" s="521" t="s">
        <v>2</v>
      </c>
      <c r="K2" s="521"/>
      <c r="L2" s="521"/>
      <c r="M2" s="521"/>
      <c r="N2" s="521"/>
      <c r="O2" s="521"/>
      <c r="P2" s="521"/>
      <c r="Q2" s="521"/>
      <c r="R2" s="521"/>
      <c r="S2" s="521"/>
      <c r="T2" s="521"/>
      <c r="U2" s="521"/>
      <c r="V2" s="521"/>
      <c r="W2" s="521"/>
      <c r="X2" s="521"/>
      <c r="Y2" s="521"/>
      <c r="Z2" s="521"/>
      <c r="AA2" s="521"/>
      <c r="AB2" s="521"/>
      <c r="AC2" s="521"/>
      <c r="AD2" s="521"/>
      <c r="AE2" s="521"/>
      <c r="AF2" s="521"/>
      <c r="AG2" s="521"/>
      <c r="AH2" s="521"/>
      <c r="AI2" s="521"/>
      <c r="AJ2" s="521"/>
      <c r="AK2" s="521"/>
      <c r="AL2" s="521"/>
      <c r="AM2" s="521"/>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row>
    <row r="3" spans="1:99" ht="18.75" customHeight="1" x14ac:dyDescent="0.3">
      <c r="A3" s="67"/>
      <c r="B3" s="484"/>
      <c r="C3" s="484"/>
      <c r="D3" s="484"/>
      <c r="E3" s="484"/>
      <c r="F3" s="484"/>
      <c r="G3" s="484"/>
      <c r="H3" s="484"/>
      <c r="I3" s="484"/>
      <c r="J3" s="521"/>
      <c r="K3" s="521"/>
      <c r="L3" s="521"/>
      <c r="M3" s="521"/>
      <c r="N3" s="521"/>
      <c r="O3" s="521"/>
      <c r="P3" s="521"/>
      <c r="Q3" s="521"/>
      <c r="R3" s="521"/>
      <c r="S3" s="521"/>
      <c r="T3" s="521"/>
      <c r="U3" s="521"/>
      <c r="V3" s="521"/>
      <c r="W3" s="521"/>
      <c r="X3" s="521"/>
      <c r="Y3" s="521"/>
      <c r="Z3" s="521"/>
      <c r="AA3" s="521"/>
      <c r="AB3" s="521"/>
      <c r="AC3" s="521"/>
      <c r="AD3" s="521"/>
      <c r="AE3" s="521"/>
      <c r="AF3" s="521"/>
      <c r="AG3" s="521"/>
      <c r="AH3" s="521"/>
      <c r="AI3" s="521"/>
      <c r="AJ3" s="521"/>
      <c r="AK3" s="521"/>
      <c r="AL3" s="521"/>
      <c r="AM3" s="521"/>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row>
    <row r="4" spans="1:99" ht="15" customHeight="1" x14ac:dyDescent="0.3">
      <c r="A4" s="67"/>
      <c r="B4" s="484"/>
      <c r="C4" s="484"/>
      <c r="D4" s="484"/>
      <c r="E4" s="484"/>
      <c r="F4" s="484"/>
      <c r="G4" s="484"/>
      <c r="H4" s="484"/>
      <c r="I4" s="484"/>
      <c r="J4" s="521"/>
      <c r="K4" s="521"/>
      <c r="L4" s="521"/>
      <c r="M4" s="521"/>
      <c r="N4" s="521"/>
      <c r="O4" s="521"/>
      <c r="P4" s="521"/>
      <c r="Q4" s="521"/>
      <c r="R4" s="521"/>
      <c r="S4" s="521"/>
      <c r="T4" s="521"/>
      <c r="U4" s="521"/>
      <c r="V4" s="521"/>
      <c r="W4" s="521"/>
      <c r="X4" s="521"/>
      <c r="Y4" s="521"/>
      <c r="Z4" s="521"/>
      <c r="AA4" s="521"/>
      <c r="AB4" s="521"/>
      <c r="AC4" s="521"/>
      <c r="AD4" s="521"/>
      <c r="AE4" s="521"/>
      <c r="AF4" s="521"/>
      <c r="AG4" s="521"/>
      <c r="AH4" s="521"/>
      <c r="AI4" s="521"/>
      <c r="AJ4" s="521"/>
      <c r="AK4" s="521"/>
      <c r="AL4" s="521"/>
      <c r="AM4" s="521"/>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row>
    <row r="5" spans="1:99" ht="15" thickBot="1" x14ac:dyDescent="0.3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row>
    <row r="6" spans="1:99" ht="15" customHeight="1" x14ac:dyDescent="0.3">
      <c r="A6" s="67"/>
      <c r="B6" s="532" t="s">
        <v>4</v>
      </c>
      <c r="C6" s="532"/>
      <c r="D6" s="533"/>
      <c r="E6" s="522" t="s">
        <v>111</v>
      </c>
      <c r="F6" s="523"/>
      <c r="G6" s="523"/>
      <c r="H6" s="523"/>
      <c r="I6" s="524"/>
      <c r="J6" s="518" t="str">
        <f>IF(AND('Mapa final'!$K$10="Muy Alta",'Mapa final'!$O$10="Leve"),CONCATENATE("R",'Mapa final'!$A$10),"")</f>
        <v/>
      </c>
      <c r="K6" s="519"/>
      <c r="L6" s="519" t="str">
        <f>IF(AND('Mapa final'!$K$12="Muy Alta",'Mapa final'!$O$12="Leve"),CONCATENATE("R",'Mapa final'!$A$12),"")</f>
        <v/>
      </c>
      <c r="M6" s="519"/>
      <c r="N6" s="519" t="str">
        <f>IF(AND('Mapa final'!$K$14="Muy Alta",'Mapa final'!$O$14="Leve"),CONCATENATE("R",'Mapa final'!$A$14),"")</f>
        <v/>
      </c>
      <c r="O6" s="520"/>
      <c r="P6" s="518" t="str">
        <f>IF(AND('Mapa final'!$K$10="Muy Alta",'Mapa final'!$O$10="Menor"),CONCATENATE("R",'Mapa final'!$A$10),"")</f>
        <v/>
      </c>
      <c r="Q6" s="519"/>
      <c r="R6" s="519" t="str">
        <f>IF(AND('Mapa final'!$K$12="Muy Alta",'Mapa final'!$O$12="Menor"),CONCATENATE("R",'Mapa final'!$A$12),"")</f>
        <v/>
      </c>
      <c r="S6" s="519"/>
      <c r="T6" s="519" t="str">
        <f>IF(AND('Mapa final'!$K$14="Muy Alta",'Mapa final'!$O$14="Menor"),CONCATENATE("R",'Mapa final'!$A$14),"")</f>
        <v/>
      </c>
      <c r="U6" s="520"/>
      <c r="V6" s="518" t="str">
        <f>IF(AND('Mapa final'!$K$10="Muy Alta",'Mapa final'!$O$10="Moderado"),CONCATENATE("R",'Mapa final'!$A$10),"")</f>
        <v/>
      </c>
      <c r="W6" s="519"/>
      <c r="X6" s="519" t="str">
        <f>IF(AND('Mapa final'!$K$12="Muy Alta",'Mapa final'!$O$12="Moderado"),CONCATENATE("R",'Mapa final'!$A$12),"")</f>
        <v/>
      </c>
      <c r="Y6" s="519"/>
      <c r="Z6" s="519" t="str">
        <f>IF(AND('Mapa final'!$K$14="Muy Alta",'Mapa final'!$O$14="Moderado"),CONCATENATE("R",'Mapa final'!$A$14),"")</f>
        <v/>
      </c>
      <c r="AA6" s="520"/>
      <c r="AB6" s="518" t="str">
        <f>IF(AND('Mapa final'!$K$10="Muy Alta",'Mapa final'!$O$10="Mayor"),CONCATENATE("R",'Mapa final'!$A$10),"")</f>
        <v/>
      </c>
      <c r="AC6" s="519"/>
      <c r="AD6" s="519" t="str">
        <f>IF(AND('Mapa final'!$K$12="Muy Alta",'Mapa final'!$O$12="Mayor"),CONCATENATE("R",'Mapa final'!$A$12),"")</f>
        <v/>
      </c>
      <c r="AE6" s="519"/>
      <c r="AF6" s="519" t="str">
        <f>IF(AND('Mapa final'!$K$14="Muy Alta",'Mapa final'!$O$14="Mayor"),CONCATENATE("R",'Mapa final'!$A$14),"")</f>
        <v/>
      </c>
      <c r="AG6" s="520"/>
      <c r="AH6" s="509" t="str">
        <f>IF(AND('Mapa final'!$K$10="Muy Alta",'Mapa final'!$O$10="Catastrófico"),CONCATENATE("R",'Mapa final'!$A$10),"")</f>
        <v/>
      </c>
      <c r="AI6" s="510"/>
      <c r="AJ6" s="510" t="str">
        <f>IF(AND('Mapa final'!$K$12="Muy Alta",'Mapa final'!$O$12="Catastrófico"),CONCATENATE("R",'Mapa final'!$A$12),"")</f>
        <v/>
      </c>
      <c r="AK6" s="510"/>
      <c r="AL6" s="510" t="str">
        <f>IF(AND('Mapa final'!$K$14="Muy Alta",'Mapa final'!$O$14="Catastrófico"),CONCATENATE("R",'Mapa final'!$A$14),"")</f>
        <v/>
      </c>
      <c r="AM6" s="511"/>
      <c r="AO6" s="534" t="s">
        <v>78</v>
      </c>
      <c r="AP6" s="535"/>
      <c r="AQ6" s="535"/>
      <c r="AR6" s="535"/>
      <c r="AS6" s="535"/>
      <c r="AT6" s="536"/>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row>
    <row r="7" spans="1:99" ht="15" customHeight="1" x14ac:dyDescent="0.3">
      <c r="A7" s="67"/>
      <c r="B7" s="532"/>
      <c r="C7" s="532"/>
      <c r="D7" s="533"/>
      <c r="E7" s="525"/>
      <c r="F7" s="526"/>
      <c r="G7" s="526"/>
      <c r="H7" s="526"/>
      <c r="I7" s="527"/>
      <c r="J7" s="512"/>
      <c r="K7" s="513"/>
      <c r="L7" s="513"/>
      <c r="M7" s="513"/>
      <c r="N7" s="513"/>
      <c r="O7" s="514"/>
      <c r="P7" s="512"/>
      <c r="Q7" s="513"/>
      <c r="R7" s="513"/>
      <c r="S7" s="513"/>
      <c r="T7" s="513"/>
      <c r="U7" s="514"/>
      <c r="V7" s="512"/>
      <c r="W7" s="513"/>
      <c r="X7" s="513"/>
      <c r="Y7" s="513"/>
      <c r="Z7" s="513"/>
      <c r="AA7" s="514"/>
      <c r="AB7" s="512"/>
      <c r="AC7" s="513"/>
      <c r="AD7" s="513"/>
      <c r="AE7" s="513"/>
      <c r="AF7" s="513"/>
      <c r="AG7" s="514"/>
      <c r="AH7" s="503"/>
      <c r="AI7" s="504"/>
      <c r="AJ7" s="504"/>
      <c r="AK7" s="504"/>
      <c r="AL7" s="504"/>
      <c r="AM7" s="505"/>
      <c r="AN7" s="67"/>
      <c r="AO7" s="537"/>
      <c r="AP7" s="538"/>
      <c r="AQ7" s="538"/>
      <c r="AR7" s="538"/>
      <c r="AS7" s="538"/>
      <c r="AT7" s="539"/>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row>
    <row r="8" spans="1:99" ht="15" customHeight="1" x14ac:dyDescent="0.3">
      <c r="A8" s="67"/>
      <c r="B8" s="532"/>
      <c r="C8" s="532"/>
      <c r="D8" s="533"/>
      <c r="E8" s="525"/>
      <c r="F8" s="526"/>
      <c r="G8" s="526"/>
      <c r="H8" s="526"/>
      <c r="I8" s="527"/>
      <c r="J8" s="512" t="str">
        <f>IF(AND('Mapa final'!$K$16="Muy Alta",'Mapa final'!$O$16="Leve"),CONCATENATE("R",'Mapa final'!$A$16),"")</f>
        <v/>
      </c>
      <c r="K8" s="513"/>
      <c r="L8" s="513" t="str">
        <f>IF(AND('Mapa final'!$K$22="Muy Alta",'Mapa final'!$O$22="Leve"),CONCATENATE("R",'Mapa final'!$A$22),"")</f>
        <v/>
      </c>
      <c r="M8" s="513"/>
      <c r="N8" s="513" t="str">
        <f>IF(AND('Mapa final'!$K$28="Muy Alta",'Mapa final'!$O$28="Leve"),CONCATENATE("R",'Mapa final'!$A$28),"")</f>
        <v/>
      </c>
      <c r="O8" s="514"/>
      <c r="P8" s="512" t="str">
        <f>IF(AND('Mapa final'!$K$16="Muy Alta",'Mapa final'!$O$16="Menor"),CONCATENATE("R",'Mapa final'!$A$16),"")</f>
        <v/>
      </c>
      <c r="Q8" s="513"/>
      <c r="R8" s="513" t="str">
        <f>IF(AND('Mapa final'!$K$22="Muy Alta",'Mapa final'!$O$22="Menor"),CONCATENATE("R",'Mapa final'!$A$22),"")</f>
        <v/>
      </c>
      <c r="S8" s="513"/>
      <c r="T8" s="513" t="str">
        <f>IF(AND('Mapa final'!$K$28="Muy Alta",'Mapa final'!$O$28="Menor"),CONCATENATE("R",'Mapa final'!$A$28),"")</f>
        <v/>
      </c>
      <c r="U8" s="514"/>
      <c r="V8" s="512" t="str">
        <f>IF(AND('Mapa final'!$K$16="Muy Alta",'Mapa final'!$O$16="Moderado"),CONCATENATE("R",'Mapa final'!$A$16),"")</f>
        <v/>
      </c>
      <c r="W8" s="513"/>
      <c r="X8" s="513" t="str">
        <f>IF(AND('Mapa final'!$K$22="Muy Alta",'Mapa final'!$O$22="Moderado"),CONCATENATE("R",'Mapa final'!$A$22),"")</f>
        <v/>
      </c>
      <c r="Y8" s="513"/>
      <c r="Z8" s="513" t="str">
        <f>IF(AND('Mapa final'!$K$28="Muy Alta",'Mapa final'!$O$28="Moderado"),CONCATENATE("R",'Mapa final'!$A$28),"")</f>
        <v/>
      </c>
      <c r="AA8" s="514"/>
      <c r="AB8" s="512" t="str">
        <f>IF(AND('Mapa final'!$K$16="Muy Alta",'Mapa final'!$O$16="Mayor"),CONCATENATE("R",'Mapa final'!$A$16),"")</f>
        <v/>
      </c>
      <c r="AC8" s="513"/>
      <c r="AD8" s="513" t="str">
        <f>IF(AND('Mapa final'!$K$22="Muy Alta",'Mapa final'!$O$22="Mayor"),CONCATENATE("R",'Mapa final'!$A$22),"")</f>
        <v/>
      </c>
      <c r="AE8" s="513"/>
      <c r="AF8" s="513" t="str">
        <f>IF(AND('Mapa final'!$K$28="Muy Alta",'Mapa final'!$O$28="Mayor"),CONCATENATE("R",'Mapa final'!$A$28),"")</f>
        <v/>
      </c>
      <c r="AG8" s="514"/>
      <c r="AH8" s="503" t="str">
        <f>IF(AND('Mapa final'!$K$16="Muy Alta",'Mapa final'!$O$16="Catastrófico"),CONCATENATE("R",'Mapa final'!$A$16),"")</f>
        <v/>
      </c>
      <c r="AI8" s="504"/>
      <c r="AJ8" s="504" t="str">
        <f>IF(AND('Mapa final'!$K$22="Muy Alta",'Mapa final'!$O$22="Catastrófico"),CONCATENATE("R",'Mapa final'!$A$22),"")</f>
        <v/>
      </c>
      <c r="AK8" s="504"/>
      <c r="AL8" s="504" t="str">
        <f>IF(AND('Mapa final'!$K$28="Muy Alta",'Mapa final'!$O$28="Catastrófico"),CONCATENATE("R",'Mapa final'!$A$28),"")</f>
        <v/>
      </c>
      <c r="AM8" s="505"/>
      <c r="AN8" s="67"/>
      <c r="AO8" s="537"/>
      <c r="AP8" s="538"/>
      <c r="AQ8" s="538"/>
      <c r="AR8" s="538"/>
      <c r="AS8" s="538"/>
      <c r="AT8" s="539"/>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row>
    <row r="9" spans="1:99" ht="15" customHeight="1" x14ac:dyDescent="0.3">
      <c r="A9" s="67"/>
      <c r="B9" s="532"/>
      <c r="C9" s="532"/>
      <c r="D9" s="533"/>
      <c r="E9" s="525"/>
      <c r="F9" s="526"/>
      <c r="G9" s="526"/>
      <c r="H9" s="526"/>
      <c r="I9" s="527"/>
      <c r="J9" s="512"/>
      <c r="K9" s="513"/>
      <c r="L9" s="513"/>
      <c r="M9" s="513"/>
      <c r="N9" s="513"/>
      <c r="O9" s="514"/>
      <c r="P9" s="512"/>
      <c r="Q9" s="513"/>
      <c r="R9" s="513"/>
      <c r="S9" s="513"/>
      <c r="T9" s="513"/>
      <c r="U9" s="514"/>
      <c r="V9" s="512"/>
      <c r="W9" s="513"/>
      <c r="X9" s="513"/>
      <c r="Y9" s="513"/>
      <c r="Z9" s="513"/>
      <c r="AA9" s="514"/>
      <c r="AB9" s="512"/>
      <c r="AC9" s="513"/>
      <c r="AD9" s="513"/>
      <c r="AE9" s="513"/>
      <c r="AF9" s="513"/>
      <c r="AG9" s="514"/>
      <c r="AH9" s="503"/>
      <c r="AI9" s="504"/>
      <c r="AJ9" s="504"/>
      <c r="AK9" s="504"/>
      <c r="AL9" s="504"/>
      <c r="AM9" s="505"/>
      <c r="AN9" s="67"/>
      <c r="AO9" s="537"/>
      <c r="AP9" s="538"/>
      <c r="AQ9" s="538"/>
      <c r="AR9" s="538"/>
      <c r="AS9" s="538"/>
      <c r="AT9" s="539"/>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row>
    <row r="10" spans="1:99" ht="15" customHeight="1" x14ac:dyDescent="0.3">
      <c r="A10" s="67"/>
      <c r="B10" s="532"/>
      <c r="C10" s="532"/>
      <c r="D10" s="533"/>
      <c r="E10" s="525"/>
      <c r="F10" s="526"/>
      <c r="G10" s="526"/>
      <c r="H10" s="526"/>
      <c r="I10" s="527"/>
      <c r="J10" s="512" t="str">
        <f>IF(AND('Mapa final'!$K$34="Muy Alta",'Mapa final'!$O$34="Leve"),CONCATENATE("R",'Mapa final'!$A$34),"")</f>
        <v/>
      </c>
      <c r="K10" s="513"/>
      <c r="L10" s="513" t="str">
        <f>IF(AND('Mapa final'!$K$40="Muy Alta",'Mapa final'!$O$40="Leve"),CONCATENATE("R",'Mapa final'!$A$40),"")</f>
        <v/>
      </c>
      <c r="M10" s="513"/>
      <c r="N10" s="513" t="str">
        <f>IF(AND('Mapa final'!$K$46="Muy Alta",'Mapa final'!$O$46="Leve"),CONCATENATE("R",'Mapa final'!$A$46),"")</f>
        <v/>
      </c>
      <c r="O10" s="514"/>
      <c r="P10" s="512" t="str">
        <f>IF(AND('Mapa final'!$K$34="Muy Alta",'Mapa final'!$O$34="Menor"),CONCATENATE("R",'Mapa final'!$A$34),"")</f>
        <v/>
      </c>
      <c r="Q10" s="513"/>
      <c r="R10" s="513" t="str">
        <f>IF(AND('Mapa final'!$K$40="Muy Alta",'Mapa final'!$O$40="Menor"),CONCATENATE("R",'Mapa final'!$A$40),"")</f>
        <v/>
      </c>
      <c r="S10" s="513"/>
      <c r="T10" s="513" t="str">
        <f>IF(AND('Mapa final'!$K$46="Muy Alta",'Mapa final'!$O$46="Menor"),CONCATENATE("R",'Mapa final'!$A$46),"")</f>
        <v/>
      </c>
      <c r="U10" s="514"/>
      <c r="V10" s="512" t="str">
        <f>IF(AND('Mapa final'!$K$34="Muy Alta",'Mapa final'!$O$34="Moderado"),CONCATENATE("R",'Mapa final'!$A$34),"")</f>
        <v/>
      </c>
      <c r="W10" s="513"/>
      <c r="X10" s="513" t="str">
        <f>IF(AND('Mapa final'!$K$40="Muy Alta",'Mapa final'!$O$40="Moderado"),CONCATENATE("R",'Mapa final'!$A$40),"")</f>
        <v/>
      </c>
      <c r="Y10" s="513"/>
      <c r="Z10" s="513" t="str">
        <f>IF(AND('Mapa final'!$K$46="Muy Alta",'Mapa final'!$O$46="Moderado"),CONCATENATE("R",'Mapa final'!$A$46),"")</f>
        <v/>
      </c>
      <c r="AA10" s="514"/>
      <c r="AB10" s="512" t="str">
        <f>IF(AND('Mapa final'!$K$34="Muy Alta",'Mapa final'!$O$34="Mayor"),CONCATENATE("R",'Mapa final'!$A$34),"")</f>
        <v/>
      </c>
      <c r="AC10" s="513"/>
      <c r="AD10" s="513" t="str">
        <f>IF(AND('Mapa final'!$K$40="Muy Alta",'Mapa final'!$O$40="Mayor"),CONCATENATE("R",'Mapa final'!$A$40),"")</f>
        <v/>
      </c>
      <c r="AE10" s="513"/>
      <c r="AF10" s="513" t="str">
        <f>IF(AND('Mapa final'!$K$46="Muy Alta",'Mapa final'!$O$46="Mayor"),CONCATENATE("R",'Mapa final'!$A$46),"")</f>
        <v/>
      </c>
      <c r="AG10" s="514"/>
      <c r="AH10" s="503" t="str">
        <f>IF(AND('Mapa final'!$K$34="Muy Alta",'Mapa final'!$O$34="Catastrófico"),CONCATENATE("R",'Mapa final'!$A$34),"")</f>
        <v/>
      </c>
      <c r="AI10" s="504"/>
      <c r="AJ10" s="504" t="str">
        <f>IF(AND('Mapa final'!$K$40="Muy Alta",'Mapa final'!$O$40="Catastrófico"),CONCATENATE("R",'Mapa final'!$A$40),"")</f>
        <v/>
      </c>
      <c r="AK10" s="504"/>
      <c r="AL10" s="504" t="str">
        <f>IF(AND('Mapa final'!$K$46="Muy Alta",'Mapa final'!$O$46="Catastrófico"),CONCATENATE("R",'Mapa final'!$A$46),"")</f>
        <v/>
      </c>
      <c r="AM10" s="505"/>
      <c r="AN10" s="67"/>
      <c r="AO10" s="537"/>
      <c r="AP10" s="538"/>
      <c r="AQ10" s="538"/>
      <c r="AR10" s="538"/>
      <c r="AS10" s="538"/>
      <c r="AT10" s="539"/>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row>
    <row r="11" spans="1:99" ht="15" customHeight="1" x14ac:dyDescent="0.3">
      <c r="A11" s="67"/>
      <c r="B11" s="532"/>
      <c r="C11" s="532"/>
      <c r="D11" s="533"/>
      <c r="E11" s="525"/>
      <c r="F11" s="526"/>
      <c r="G11" s="526"/>
      <c r="H11" s="526"/>
      <c r="I11" s="527"/>
      <c r="J11" s="512"/>
      <c r="K11" s="513"/>
      <c r="L11" s="513"/>
      <c r="M11" s="513"/>
      <c r="N11" s="513"/>
      <c r="O11" s="514"/>
      <c r="P11" s="512"/>
      <c r="Q11" s="513"/>
      <c r="R11" s="513"/>
      <c r="S11" s="513"/>
      <c r="T11" s="513"/>
      <c r="U11" s="514"/>
      <c r="V11" s="512"/>
      <c r="W11" s="513"/>
      <c r="X11" s="513"/>
      <c r="Y11" s="513"/>
      <c r="Z11" s="513"/>
      <c r="AA11" s="514"/>
      <c r="AB11" s="512"/>
      <c r="AC11" s="513"/>
      <c r="AD11" s="513"/>
      <c r="AE11" s="513"/>
      <c r="AF11" s="513"/>
      <c r="AG11" s="514"/>
      <c r="AH11" s="503"/>
      <c r="AI11" s="504"/>
      <c r="AJ11" s="504"/>
      <c r="AK11" s="504"/>
      <c r="AL11" s="504"/>
      <c r="AM11" s="505"/>
      <c r="AN11" s="67"/>
      <c r="AO11" s="537"/>
      <c r="AP11" s="538"/>
      <c r="AQ11" s="538"/>
      <c r="AR11" s="538"/>
      <c r="AS11" s="538"/>
      <c r="AT11" s="539"/>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row>
    <row r="12" spans="1:99" ht="15" customHeight="1" x14ac:dyDescent="0.3">
      <c r="A12" s="67"/>
      <c r="B12" s="532"/>
      <c r="C12" s="532"/>
      <c r="D12" s="533"/>
      <c r="E12" s="525"/>
      <c r="F12" s="526"/>
      <c r="G12" s="526"/>
      <c r="H12" s="526"/>
      <c r="I12" s="527"/>
      <c r="J12" s="512" t="str">
        <f>IF(AND('Mapa final'!$K$52="Muy Alta",'Mapa final'!$O$52="Leve"),CONCATENATE("R",'Mapa final'!$A$52),"")</f>
        <v/>
      </c>
      <c r="K12" s="513"/>
      <c r="L12" s="513" t="str">
        <f>IF(AND('Mapa final'!$K$58="Muy Alta",'Mapa final'!$O$58="Leve"),CONCATENATE("R",'Mapa final'!$A$58),"")</f>
        <v/>
      </c>
      <c r="M12" s="513"/>
      <c r="N12" s="513" t="str">
        <f>IF(AND('Mapa final'!$K$64="Muy Alta",'Mapa final'!$O$64="Leve"),CONCATENATE("R",'Mapa final'!$A$64),"")</f>
        <v/>
      </c>
      <c r="O12" s="514"/>
      <c r="P12" s="512" t="str">
        <f>IF(AND('Mapa final'!$K$52="Muy Alta",'Mapa final'!$O$52="Menor"),CONCATENATE("R",'Mapa final'!$A$52),"")</f>
        <v/>
      </c>
      <c r="Q12" s="513"/>
      <c r="R12" s="513" t="str">
        <f>IF(AND('Mapa final'!$K$58="Muy Alta",'Mapa final'!$O$58="Menor"),CONCATENATE("R",'Mapa final'!$A$58),"")</f>
        <v/>
      </c>
      <c r="S12" s="513"/>
      <c r="T12" s="513" t="str">
        <f>IF(AND('Mapa final'!$K$64="Muy Alta",'Mapa final'!$O$64="Menor"),CONCATENATE("R",'Mapa final'!$A$64),"")</f>
        <v/>
      </c>
      <c r="U12" s="514"/>
      <c r="V12" s="512" t="str">
        <f>IF(AND('Mapa final'!$K$52="Muy Alta",'Mapa final'!$O$52="Moderado"),CONCATENATE("R",'Mapa final'!$A$52),"")</f>
        <v/>
      </c>
      <c r="W12" s="513"/>
      <c r="X12" s="513" t="str">
        <f>IF(AND('Mapa final'!$K$58="Muy Alta",'Mapa final'!$O$58="Moderado"),CONCATENATE("R",'Mapa final'!$A$58),"")</f>
        <v/>
      </c>
      <c r="Y12" s="513"/>
      <c r="Z12" s="513" t="str">
        <f>IF(AND('Mapa final'!$K$64="Muy Alta",'Mapa final'!$O$64="Moderado"),CONCATENATE("R",'Mapa final'!$A$64),"")</f>
        <v/>
      </c>
      <c r="AA12" s="514"/>
      <c r="AB12" s="512" t="str">
        <f>IF(AND('Mapa final'!$K$52="Muy Alta",'Mapa final'!$O$52="Mayor"),CONCATENATE("R",'Mapa final'!$A$52),"")</f>
        <v/>
      </c>
      <c r="AC12" s="513"/>
      <c r="AD12" s="513" t="str">
        <f>IF(AND('Mapa final'!$K$58="Muy Alta",'Mapa final'!$O$58="Mayor"),CONCATENATE("R",'Mapa final'!$A$58),"")</f>
        <v/>
      </c>
      <c r="AE12" s="513"/>
      <c r="AF12" s="513" t="str">
        <f>IF(AND('Mapa final'!$K$64="Muy Alta",'Mapa final'!$O$64="Mayor"),CONCATENATE("R",'Mapa final'!$A$64),"")</f>
        <v/>
      </c>
      <c r="AG12" s="514"/>
      <c r="AH12" s="503" t="str">
        <f>IF(AND('Mapa final'!$K$52="Muy Alta",'Mapa final'!$O$52="Catastrófico"),CONCATENATE("R",'Mapa final'!$A$52),"")</f>
        <v/>
      </c>
      <c r="AI12" s="504"/>
      <c r="AJ12" s="504" t="str">
        <f>IF(AND('Mapa final'!$K$58="Muy Alta",'Mapa final'!$O$58="Catastrófico"),CONCATENATE("R",'Mapa final'!$A$58),"")</f>
        <v/>
      </c>
      <c r="AK12" s="504"/>
      <c r="AL12" s="504" t="str">
        <f>IF(AND('Mapa final'!$K$64="Muy Alta",'Mapa final'!$O$64="Catastrófico"),CONCATENATE("R",'Mapa final'!$A$64),"")</f>
        <v/>
      </c>
      <c r="AM12" s="505"/>
      <c r="AN12" s="67"/>
      <c r="AO12" s="537"/>
      <c r="AP12" s="538"/>
      <c r="AQ12" s="538"/>
      <c r="AR12" s="538"/>
      <c r="AS12" s="538"/>
      <c r="AT12" s="539"/>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row>
    <row r="13" spans="1:99" ht="15.75" customHeight="1" thickBot="1" x14ac:dyDescent="0.35">
      <c r="A13" s="67"/>
      <c r="B13" s="532"/>
      <c r="C13" s="532"/>
      <c r="D13" s="533"/>
      <c r="E13" s="528"/>
      <c r="F13" s="529"/>
      <c r="G13" s="529"/>
      <c r="H13" s="529"/>
      <c r="I13" s="530"/>
      <c r="J13" s="512"/>
      <c r="K13" s="513"/>
      <c r="L13" s="513"/>
      <c r="M13" s="513"/>
      <c r="N13" s="513"/>
      <c r="O13" s="514"/>
      <c r="P13" s="512"/>
      <c r="Q13" s="513"/>
      <c r="R13" s="513"/>
      <c r="S13" s="513"/>
      <c r="T13" s="513"/>
      <c r="U13" s="514"/>
      <c r="V13" s="512"/>
      <c r="W13" s="513"/>
      <c r="X13" s="513"/>
      <c r="Y13" s="513"/>
      <c r="Z13" s="513"/>
      <c r="AA13" s="514"/>
      <c r="AB13" s="512"/>
      <c r="AC13" s="513"/>
      <c r="AD13" s="513"/>
      <c r="AE13" s="513"/>
      <c r="AF13" s="513"/>
      <c r="AG13" s="514"/>
      <c r="AH13" s="506"/>
      <c r="AI13" s="507"/>
      <c r="AJ13" s="507"/>
      <c r="AK13" s="507"/>
      <c r="AL13" s="507"/>
      <c r="AM13" s="508"/>
      <c r="AN13" s="67"/>
      <c r="AO13" s="540"/>
      <c r="AP13" s="541"/>
      <c r="AQ13" s="541"/>
      <c r="AR13" s="541"/>
      <c r="AS13" s="541"/>
      <c r="AT13" s="542"/>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row>
    <row r="14" spans="1:99" ht="15" customHeight="1" x14ac:dyDescent="0.3">
      <c r="A14" s="67"/>
      <c r="B14" s="532"/>
      <c r="C14" s="532"/>
      <c r="D14" s="533"/>
      <c r="E14" s="522" t="s">
        <v>110</v>
      </c>
      <c r="F14" s="523"/>
      <c r="G14" s="523"/>
      <c r="H14" s="523"/>
      <c r="I14" s="523"/>
      <c r="J14" s="500" t="str">
        <f>IF(AND('Mapa final'!$K$10="Alta",'Mapa final'!$O$10="Leve"),CONCATENATE("R",'Mapa final'!$A$10),"")</f>
        <v/>
      </c>
      <c r="K14" s="501"/>
      <c r="L14" s="501" t="str">
        <f>IF(AND('Mapa final'!$K$12="Alta",'Mapa final'!$O$12="Leve"),CONCATENATE("R",'Mapa final'!$A$12),"")</f>
        <v/>
      </c>
      <c r="M14" s="501"/>
      <c r="N14" s="501" t="str">
        <f>IF(AND('Mapa final'!$K$14="Alta",'Mapa final'!$O$14="Leve"),CONCATENATE("R",'Mapa final'!$A$14),"")</f>
        <v/>
      </c>
      <c r="O14" s="502"/>
      <c r="P14" s="500" t="str">
        <f>IF(AND('Mapa final'!$K$10="Alta",'Mapa final'!$O$10="Menor"),CONCATENATE("R",'Mapa final'!$A$10),"")</f>
        <v/>
      </c>
      <c r="Q14" s="501"/>
      <c r="R14" s="501" t="str">
        <f>IF(AND('Mapa final'!$K$12="Alta",'Mapa final'!$O$12="Menor"),CONCATENATE("R",'Mapa final'!$A$12),"")</f>
        <v/>
      </c>
      <c r="S14" s="501"/>
      <c r="T14" s="501" t="str">
        <f>IF(AND('Mapa final'!$K$14="Alta",'Mapa final'!$O$14="Menor"),CONCATENATE("R",'Mapa final'!$A$14),"")</f>
        <v/>
      </c>
      <c r="U14" s="502"/>
      <c r="V14" s="518" t="str">
        <f>IF(AND('Mapa final'!$K$10="Alta",'Mapa final'!$O$10="Moderado"),CONCATENATE("R",'Mapa final'!$A$10),"")</f>
        <v/>
      </c>
      <c r="W14" s="519"/>
      <c r="X14" s="519" t="str">
        <f>IF(AND('Mapa final'!$K$12="Alta",'Mapa final'!$O$12="Moderado"),CONCATENATE("R",'Mapa final'!$A$12),"")</f>
        <v/>
      </c>
      <c r="Y14" s="519"/>
      <c r="Z14" s="519" t="str">
        <f>IF(AND('Mapa final'!$K$14="Alta",'Mapa final'!$O$14="Moderado"),CONCATENATE("R",'Mapa final'!$A$14),"")</f>
        <v/>
      </c>
      <c r="AA14" s="520"/>
      <c r="AB14" s="518" t="str">
        <f>IF(AND('Mapa final'!$K$10="Alta",'Mapa final'!$O$10="Mayor"),CONCATENATE("R",'Mapa final'!$A$10),"")</f>
        <v/>
      </c>
      <c r="AC14" s="519"/>
      <c r="AD14" s="519" t="str">
        <f>IF(AND('Mapa final'!$K$12="Alta",'Mapa final'!$O$12="Mayor"),CONCATENATE("R",'Mapa final'!$A$12),"")</f>
        <v/>
      </c>
      <c r="AE14" s="519"/>
      <c r="AF14" s="519" t="str">
        <f>IF(AND('Mapa final'!$K$14="Alta",'Mapa final'!$O$14="Mayor"),CONCATENATE("R",'Mapa final'!$A$14),"")</f>
        <v/>
      </c>
      <c r="AG14" s="520"/>
      <c r="AH14" s="509" t="str">
        <f>IF(AND('Mapa final'!$K$10="Alta",'Mapa final'!$O$10="Catastrófico"),CONCATENATE("R",'Mapa final'!$A$10),"")</f>
        <v/>
      </c>
      <c r="AI14" s="510"/>
      <c r="AJ14" s="510" t="str">
        <f>IF(AND('Mapa final'!$K$12="Alta",'Mapa final'!$O$12="Catastrófico"),CONCATENATE("R",'Mapa final'!$A$12),"")</f>
        <v/>
      </c>
      <c r="AK14" s="510"/>
      <c r="AL14" s="510" t="str">
        <f>IF(AND('Mapa final'!$K$14="Alta",'Mapa final'!$O$14="Catastrófico"),CONCATENATE("R",'Mapa final'!$A$14),"")</f>
        <v/>
      </c>
      <c r="AM14" s="511"/>
      <c r="AN14" s="67"/>
      <c r="AO14" s="543" t="s">
        <v>79</v>
      </c>
      <c r="AP14" s="544"/>
      <c r="AQ14" s="544"/>
      <c r="AR14" s="544"/>
      <c r="AS14" s="544"/>
      <c r="AT14" s="545"/>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row>
    <row r="15" spans="1:99" ht="15" customHeight="1" x14ac:dyDescent="0.3">
      <c r="A15" s="67"/>
      <c r="B15" s="532"/>
      <c r="C15" s="532"/>
      <c r="D15" s="533"/>
      <c r="E15" s="525"/>
      <c r="F15" s="526"/>
      <c r="G15" s="526"/>
      <c r="H15" s="526"/>
      <c r="I15" s="526"/>
      <c r="J15" s="494"/>
      <c r="K15" s="495"/>
      <c r="L15" s="495"/>
      <c r="M15" s="495"/>
      <c r="N15" s="495"/>
      <c r="O15" s="496"/>
      <c r="P15" s="494"/>
      <c r="Q15" s="495"/>
      <c r="R15" s="495"/>
      <c r="S15" s="495"/>
      <c r="T15" s="495"/>
      <c r="U15" s="496"/>
      <c r="V15" s="512"/>
      <c r="W15" s="513"/>
      <c r="X15" s="513"/>
      <c r="Y15" s="513"/>
      <c r="Z15" s="513"/>
      <c r="AA15" s="514"/>
      <c r="AB15" s="512"/>
      <c r="AC15" s="513"/>
      <c r="AD15" s="513"/>
      <c r="AE15" s="513"/>
      <c r="AF15" s="513"/>
      <c r="AG15" s="514"/>
      <c r="AH15" s="503"/>
      <c r="AI15" s="504"/>
      <c r="AJ15" s="504"/>
      <c r="AK15" s="504"/>
      <c r="AL15" s="504"/>
      <c r="AM15" s="505"/>
      <c r="AN15" s="67"/>
      <c r="AO15" s="546"/>
      <c r="AP15" s="547"/>
      <c r="AQ15" s="547"/>
      <c r="AR15" s="547"/>
      <c r="AS15" s="547"/>
      <c r="AT15" s="548"/>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row>
    <row r="16" spans="1:99" ht="15" customHeight="1" x14ac:dyDescent="0.3">
      <c r="A16" s="67"/>
      <c r="B16" s="532"/>
      <c r="C16" s="532"/>
      <c r="D16" s="533"/>
      <c r="E16" s="525"/>
      <c r="F16" s="526"/>
      <c r="G16" s="526"/>
      <c r="H16" s="526"/>
      <c r="I16" s="526"/>
      <c r="J16" s="494" t="str">
        <f>IF(AND('Mapa final'!$K$16="Alta",'Mapa final'!$O$16="Leve"),CONCATENATE("R",'Mapa final'!$A$16),"")</f>
        <v/>
      </c>
      <c r="K16" s="495"/>
      <c r="L16" s="495" t="str">
        <f>IF(AND('Mapa final'!$K$22="Alta",'Mapa final'!$O$22="Leve"),CONCATENATE("R",'Mapa final'!$A$22),"")</f>
        <v/>
      </c>
      <c r="M16" s="495"/>
      <c r="N16" s="495" t="str">
        <f>IF(AND('Mapa final'!$K$28="Alta",'Mapa final'!$O$28="Leve"),CONCATENATE("R",'Mapa final'!$A$28),"")</f>
        <v/>
      </c>
      <c r="O16" s="496"/>
      <c r="P16" s="494" t="str">
        <f>IF(AND('Mapa final'!$K$16="Alta",'Mapa final'!$O$16="Menor"),CONCATENATE("R",'Mapa final'!$A$16),"")</f>
        <v/>
      </c>
      <c r="Q16" s="495"/>
      <c r="R16" s="495" t="str">
        <f>IF(AND('Mapa final'!$K$22="Alta",'Mapa final'!$O$22="Menor"),CONCATENATE("R",'Mapa final'!$A$22),"")</f>
        <v/>
      </c>
      <c r="S16" s="495"/>
      <c r="T16" s="495" t="str">
        <f>IF(AND('Mapa final'!$K$28="Alta",'Mapa final'!$O$28="Menor"),CONCATENATE("R",'Mapa final'!$A$28),"")</f>
        <v/>
      </c>
      <c r="U16" s="496"/>
      <c r="V16" s="512" t="str">
        <f>IF(AND('Mapa final'!$K$16="Alta",'Mapa final'!$O$16="Moderado"),CONCATENATE("R",'Mapa final'!$A$16),"")</f>
        <v/>
      </c>
      <c r="W16" s="513"/>
      <c r="X16" s="513" t="str">
        <f>IF(AND('Mapa final'!$K$22="Alta",'Mapa final'!$O$22="Moderado"),CONCATENATE("R",'Mapa final'!$A$22),"")</f>
        <v/>
      </c>
      <c r="Y16" s="513"/>
      <c r="Z16" s="513" t="str">
        <f>IF(AND('Mapa final'!$K$28="Alta",'Mapa final'!$O$28="Moderado"),CONCATENATE("R",'Mapa final'!$A$28),"")</f>
        <v/>
      </c>
      <c r="AA16" s="514"/>
      <c r="AB16" s="512" t="str">
        <f>IF(AND('Mapa final'!$K$16="Alta",'Mapa final'!$O$16="Mayor"),CONCATENATE("R",'Mapa final'!$A$16),"")</f>
        <v/>
      </c>
      <c r="AC16" s="513"/>
      <c r="AD16" s="513" t="str">
        <f>IF(AND('Mapa final'!$K$22="Alta",'Mapa final'!$O$22="Mayor"),CONCATENATE("R",'Mapa final'!$A$22),"")</f>
        <v/>
      </c>
      <c r="AE16" s="513"/>
      <c r="AF16" s="513" t="str">
        <f>IF(AND('Mapa final'!$K$28="Alta",'Mapa final'!$O$28="Mayor"),CONCATENATE("R",'Mapa final'!$A$28),"")</f>
        <v/>
      </c>
      <c r="AG16" s="514"/>
      <c r="AH16" s="503" t="str">
        <f>IF(AND('Mapa final'!$K$16="Alta",'Mapa final'!$O$16="Catastrófico"),CONCATENATE("R",'Mapa final'!$A$16),"")</f>
        <v/>
      </c>
      <c r="AI16" s="504"/>
      <c r="AJ16" s="504" t="str">
        <f>IF(AND('Mapa final'!$K$22="Alta",'Mapa final'!$O$22="Catastrófico"),CONCATENATE("R",'Mapa final'!$A$22),"")</f>
        <v/>
      </c>
      <c r="AK16" s="504"/>
      <c r="AL16" s="504" t="str">
        <f>IF(AND('Mapa final'!$K$28="Alta",'Mapa final'!$O$28="Catastrófico"),CONCATENATE("R",'Mapa final'!$A$28),"")</f>
        <v/>
      </c>
      <c r="AM16" s="505"/>
      <c r="AN16" s="67"/>
      <c r="AO16" s="546"/>
      <c r="AP16" s="547"/>
      <c r="AQ16" s="547"/>
      <c r="AR16" s="547"/>
      <c r="AS16" s="547"/>
      <c r="AT16" s="548"/>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row>
    <row r="17" spans="1:80" ht="15" customHeight="1" x14ac:dyDescent="0.3">
      <c r="A17" s="67"/>
      <c r="B17" s="532"/>
      <c r="C17" s="532"/>
      <c r="D17" s="533"/>
      <c r="E17" s="525"/>
      <c r="F17" s="526"/>
      <c r="G17" s="526"/>
      <c r="H17" s="526"/>
      <c r="I17" s="526"/>
      <c r="J17" s="494"/>
      <c r="K17" s="495"/>
      <c r="L17" s="495"/>
      <c r="M17" s="495"/>
      <c r="N17" s="495"/>
      <c r="O17" s="496"/>
      <c r="P17" s="494"/>
      <c r="Q17" s="495"/>
      <c r="R17" s="495"/>
      <c r="S17" s="495"/>
      <c r="T17" s="495"/>
      <c r="U17" s="496"/>
      <c r="V17" s="512"/>
      <c r="W17" s="513"/>
      <c r="X17" s="513"/>
      <c r="Y17" s="513"/>
      <c r="Z17" s="513"/>
      <c r="AA17" s="514"/>
      <c r="AB17" s="512"/>
      <c r="AC17" s="513"/>
      <c r="AD17" s="513"/>
      <c r="AE17" s="513"/>
      <c r="AF17" s="513"/>
      <c r="AG17" s="514"/>
      <c r="AH17" s="503"/>
      <c r="AI17" s="504"/>
      <c r="AJ17" s="504"/>
      <c r="AK17" s="504"/>
      <c r="AL17" s="504"/>
      <c r="AM17" s="505"/>
      <c r="AN17" s="67"/>
      <c r="AO17" s="546"/>
      <c r="AP17" s="547"/>
      <c r="AQ17" s="547"/>
      <c r="AR17" s="547"/>
      <c r="AS17" s="547"/>
      <c r="AT17" s="548"/>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row>
    <row r="18" spans="1:80" ht="15" customHeight="1" x14ac:dyDescent="0.3">
      <c r="A18" s="67"/>
      <c r="B18" s="532"/>
      <c r="C18" s="532"/>
      <c r="D18" s="533"/>
      <c r="E18" s="525"/>
      <c r="F18" s="526"/>
      <c r="G18" s="526"/>
      <c r="H18" s="526"/>
      <c r="I18" s="526"/>
      <c r="J18" s="494" t="str">
        <f>IF(AND('Mapa final'!$K$34="Alta",'Mapa final'!$O$34="Leve"),CONCATENATE("R",'Mapa final'!$A$34),"")</f>
        <v/>
      </c>
      <c r="K18" s="495"/>
      <c r="L18" s="495" t="str">
        <f>IF(AND('Mapa final'!$K$40="Alta",'Mapa final'!$O$40="Leve"),CONCATENATE("R",'Mapa final'!$A$40),"")</f>
        <v/>
      </c>
      <c r="M18" s="495"/>
      <c r="N18" s="495" t="str">
        <f>IF(AND('Mapa final'!$K$46="Alta",'Mapa final'!$O$46="Leve"),CONCATENATE("R",'Mapa final'!$A$46),"")</f>
        <v/>
      </c>
      <c r="O18" s="496"/>
      <c r="P18" s="494" t="str">
        <f>IF(AND('Mapa final'!$K$34="Alta",'Mapa final'!$O$34="Menor"),CONCATENATE("R",'Mapa final'!$A$34),"")</f>
        <v/>
      </c>
      <c r="Q18" s="495"/>
      <c r="R18" s="495" t="str">
        <f>IF(AND('Mapa final'!$K$40="Alta",'Mapa final'!$O$40="Menor"),CONCATENATE("R",'Mapa final'!$A$40),"")</f>
        <v/>
      </c>
      <c r="S18" s="495"/>
      <c r="T18" s="495" t="str">
        <f>IF(AND('Mapa final'!$K$46="Alta",'Mapa final'!$O$46="Menor"),CONCATENATE("R",'Mapa final'!$A$46),"")</f>
        <v/>
      </c>
      <c r="U18" s="496"/>
      <c r="V18" s="512" t="str">
        <f>IF(AND('Mapa final'!$K$34="Alta",'Mapa final'!$O$34="Moderado"),CONCATENATE("R",'Mapa final'!$A$34),"")</f>
        <v/>
      </c>
      <c r="W18" s="513"/>
      <c r="X18" s="513" t="str">
        <f>IF(AND('Mapa final'!$K$40="Alta",'Mapa final'!$O$40="Moderado"),CONCATENATE("R",'Mapa final'!$A$40),"")</f>
        <v/>
      </c>
      <c r="Y18" s="513"/>
      <c r="Z18" s="513" t="str">
        <f>IF(AND('Mapa final'!$K$46="Alta",'Mapa final'!$O$46="Moderado"),CONCATENATE("R",'Mapa final'!$A$46),"")</f>
        <v/>
      </c>
      <c r="AA18" s="514"/>
      <c r="AB18" s="512" t="str">
        <f>IF(AND('Mapa final'!$K$34="Alta",'Mapa final'!$O$34="Mayor"),CONCATENATE("R",'Mapa final'!$A$34),"")</f>
        <v/>
      </c>
      <c r="AC18" s="513"/>
      <c r="AD18" s="513" t="str">
        <f>IF(AND('Mapa final'!$K$40="Alta",'Mapa final'!$O$40="Mayor"),CONCATENATE("R",'Mapa final'!$A$40),"")</f>
        <v/>
      </c>
      <c r="AE18" s="513"/>
      <c r="AF18" s="513" t="str">
        <f>IF(AND('Mapa final'!$K$46="Alta",'Mapa final'!$O$46="Mayor"),CONCATENATE("R",'Mapa final'!$A$46),"")</f>
        <v/>
      </c>
      <c r="AG18" s="514"/>
      <c r="AH18" s="503" t="str">
        <f>IF(AND('Mapa final'!$K$34="Alta",'Mapa final'!$O$34="Catastrófico"),CONCATENATE("R",'Mapa final'!$A$34),"")</f>
        <v/>
      </c>
      <c r="AI18" s="504"/>
      <c r="AJ18" s="504" t="str">
        <f>IF(AND('Mapa final'!$K$40="Alta",'Mapa final'!$O$40="Catastrófico"),CONCATENATE("R",'Mapa final'!$A$40),"")</f>
        <v/>
      </c>
      <c r="AK18" s="504"/>
      <c r="AL18" s="504" t="str">
        <f>IF(AND('Mapa final'!$K$46="Alta",'Mapa final'!$O$46="Catastrófico"),CONCATENATE("R",'Mapa final'!$A$46),"")</f>
        <v/>
      </c>
      <c r="AM18" s="505"/>
      <c r="AN18" s="67"/>
      <c r="AO18" s="546"/>
      <c r="AP18" s="547"/>
      <c r="AQ18" s="547"/>
      <c r="AR18" s="547"/>
      <c r="AS18" s="547"/>
      <c r="AT18" s="548"/>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row>
    <row r="19" spans="1:80" ht="15" customHeight="1" x14ac:dyDescent="0.3">
      <c r="A19" s="67"/>
      <c r="B19" s="532"/>
      <c r="C19" s="532"/>
      <c r="D19" s="533"/>
      <c r="E19" s="525"/>
      <c r="F19" s="526"/>
      <c r="G19" s="526"/>
      <c r="H19" s="526"/>
      <c r="I19" s="526"/>
      <c r="J19" s="494"/>
      <c r="K19" s="495"/>
      <c r="L19" s="495"/>
      <c r="M19" s="495"/>
      <c r="N19" s="495"/>
      <c r="O19" s="496"/>
      <c r="P19" s="494"/>
      <c r="Q19" s="495"/>
      <c r="R19" s="495"/>
      <c r="S19" s="495"/>
      <c r="T19" s="495"/>
      <c r="U19" s="496"/>
      <c r="V19" s="512"/>
      <c r="W19" s="513"/>
      <c r="X19" s="513"/>
      <c r="Y19" s="513"/>
      <c r="Z19" s="513"/>
      <c r="AA19" s="514"/>
      <c r="AB19" s="512"/>
      <c r="AC19" s="513"/>
      <c r="AD19" s="513"/>
      <c r="AE19" s="513"/>
      <c r="AF19" s="513"/>
      <c r="AG19" s="514"/>
      <c r="AH19" s="503"/>
      <c r="AI19" s="504"/>
      <c r="AJ19" s="504"/>
      <c r="AK19" s="504"/>
      <c r="AL19" s="504"/>
      <c r="AM19" s="505"/>
      <c r="AN19" s="67"/>
      <c r="AO19" s="546"/>
      <c r="AP19" s="547"/>
      <c r="AQ19" s="547"/>
      <c r="AR19" s="547"/>
      <c r="AS19" s="547"/>
      <c r="AT19" s="548"/>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row>
    <row r="20" spans="1:80" ht="15" customHeight="1" x14ac:dyDescent="0.3">
      <c r="A20" s="67"/>
      <c r="B20" s="532"/>
      <c r="C20" s="532"/>
      <c r="D20" s="533"/>
      <c r="E20" s="525"/>
      <c r="F20" s="526"/>
      <c r="G20" s="526"/>
      <c r="H20" s="526"/>
      <c r="I20" s="526"/>
      <c r="J20" s="494" t="str">
        <f>IF(AND('Mapa final'!$K$52="Alta",'Mapa final'!$O$52="Leve"),CONCATENATE("R",'Mapa final'!$A$52),"")</f>
        <v/>
      </c>
      <c r="K20" s="495"/>
      <c r="L20" s="495" t="str">
        <f>IF(AND('Mapa final'!$K$58="Alta",'Mapa final'!$O$58="Leve"),CONCATENATE("R",'Mapa final'!$A$58),"")</f>
        <v/>
      </c>
      <c r="M20" s="495"/>
      <c r="N20" s="495" t="str">
        <f>IF(AND('Mapa final'!$K$64="Alta",'Mapa final'!$O$64="Leve"),CONCATENATE("R",'Mapa final'!$A$64),"")</f>
        <v/>
      </c>
      <c r="O20" s="496"/>
      <c r="P20" s="494" t="str">
        <f>IF(AND('Mapa final'!$K$52="Alta",'Mapa final'!$O$52="Menor"),CONCATENATE("R",'Mapa final'!$A$52),"")</f>
        <v/>
      </c>
      <c r="Q20" s="495"/>
      <c r="R20" s="495" t="str">
        <f>IF(AND('Mapa final'!$K$58="Alta",'Mapa final'!$O$58="Menor"),CONCATENATE("R",'Mapa final'!$A$58),"")</f>
        <v/>
      </c>
      <c r="S20" s="495"/>
      <c r="T20" s="495" t="str">
        <f>IF(AND('Mapa final'!$K$64="Alta",'Mapa final'!$O$64="Menor"),CONCATENATE("R",'Mapa final'!$A$64),"")</f>
        <v/>
      </c>
      <c r="U20" s="496"/>
      <c r="V20" s="512" t="str">
        <f>IF(AND('Mapa final'!$K$52="Alta",'Mapa final'!$O$52="Moderado"),CONCATENATE("R",'Mapa final'!$A$52),"")</f>
        <v/>
      </c>
      <c r="W20" s="513"/>
      <c r="X20" s="513" t="str">
        <f>IF(AND('Mapa final'!$K$58="Alta",'Mapa final'!$O$58="Moderado"),CONCATENATE("R",'Mapa final'!$A$58),"")</f>
        <v/>
      </c>
      <c r="Y20" s="513"/>
      <c r="Z20" s="513" t="str">
        <f>IF(AND('Mapa final'!$K$64="Alta",'Mapa final'!$O$64="Moderado"),CONCATENATE("R",'Mapa final'!$A$64),"")</f>
        <v/>
      </c>
      <c r="AA20" s="514"/>
      <c r="AB20" s="512" t="str">
        <f>IF(AND('Mapa final'!$K$52="Alta",'Mapa final'!$O$52="Mayor"),CONCATENATE("R",'Mapa final'!$A$52),"")</f>
        <v/>
      </c>
      <c r="AC20" s="513"/>
      <c r="AD20" s="513" t="str">
        <f>IF(AND('Mapa final'!$K$58="Alta",'Mapa final'!$O$58="Mayor"),CONCATENATE("R",'Mapa final'!$A$58),"")</f>
        <v/>
      </c>
      <c r="AE20" s="513"/>
      <c r="AF20" s="513" t="str">
        <f>IF(AND('Mapa final'!$K$64="Alta",'Mapa final'!$O$64="Mayor"),CONCATENATE("R",'Mapa final'!$A$64),"")</f>
        <v/>
      </c>
      <c r="AG20" s="514"/>
      <c r="AH20" s="503" t="str">
        <f>IF(AND('Mapa final'!$K$52="Alta",'Mapa final'!$O$52="Catastrófico"),CONCATENATE("R",'Mapa final'!$A$52),"")</f>
        <v/>
      </c>
      <c r="AI20" s="504"/>
      <c r="AJ20" s="504" t="str">
        <f>IF(AND('Mapa final'!$K$58="Alta",'Mapa final'!$O$58="Catastrófico"),CONCATENATE("R",'Mapa final'!$A$58),"")</f>
        <v/>
      </c>
      <c r="AK20" s="504"/>
      <c r="AL20" s="504" t="str">
        <f>IF(AND('Mapa final'!$K$64="Alta",'Mapa final'!$O$64="Catastrófico"),CONCATENATE("R",'Mapa final'!$A$64),"")</f>
        <v/>
      </c>
      <c r="AM20" s="505"/>
      <c r="AN20" s="67"/>
      <c r="AO20" s="546"/>
      <c r="AP20" s="547"/>
      <c r="AQ20" s="547"/>
      <c r="AR20" s="547"/>
      <c r="AS20" s="547"/>
      <c r="AT20" s="548"/>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row>
    <row r="21" spans="1:80" ht="15.75" customHeight="1" thickBot="1" x14ac:dyDescent="0.35">
      <c r="A21" s="67"/>
      <c r="B21" s="532"/>
      <c r="C21" s="532"/>
      <c r="D21" s="533"/>
      <c r="E21" s="528"/>
      <c r="F21" s="529"/>
      <c r="G21" s="529"/>
      <c r="H21" s="529"/>
      <c r="I21" s="529"/>
      <c r="J21" s="497"/>
      <c r="K21" s="498"/>
      <c r="L21" s="498"/>
      <c r="M21" s="498"/>
      <c r="N21" s="498"/>
      <c r="O21" s="499"/>
      <c r="P21" s="497"/>
      <c r="Q21" s="498"/>
      <c r="R21" s="498"/>
      <c r="S21" s="498"/>
      <c r="T21" s="498"/>
      <c r="U21" s="499"/>
      <c r="V21" s="515"/>
      <c r="W21" s="516"/>
      <c r="X21" s="516"/>
      <c r="Y21" s="516"/>
      <c r="Z21" s="516"/>
      <c r="AA21" s="517"/>
      <c r="AB21" s="515"/>
      <c r="AC21" s="516"/>
      <c r="AD21" s="516"/>
      <c r="AE21" s="516"/>
      <c r="AF21" s="516"/>
      <c r="AG21" s="517"/>
      <c r="AH21" s="506"/>
      <c r="AI21" s="507"/>
      <c r="AJ21" s="507"/>
      <c r="AK21" s="507"/>
      <c r="AL21" s="507"/>
      <c r="AM21" s="508"/>
      <c r="AN21" s="67"/>
      <c r="AO21" s="549"/>
      <c r="AP21" s="550"/>
      <c r="AQ21" s="550"/>
      <c r="AR21" s="550"/>
      <c r="AS21" s="550"/>
      <c r="AT21" s="551"/>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row>
    <row r="22" spans="1:80" x14ac:dyDescent="0.3">
      <c r="A22" s="67"/>
      <c r="B22" s="532"/>
      <c r="C22" s="532"/>
      <c r="D22" s="533"/>
      <c r="E22" s="522" t="s">
        <v>112</v>
      </c>
      <c r="F22" s="523"/>
      <c r="G22" s="523"/>
      <c r="H22" s="523"/>
      <c r="I22" s="524"/>
      <c r="J22" s="500" t="str">
        <f>IF(AND('Mapa final'!$K$10="Media",'Mapa final'!$O$10="Leve"),CONCATENATE("R",'Mapa final'!$A$10),"")</f>
        <v/>
      </c>
      <c r="K22" s="501"/>
      <c r="L22" s="501" t="str">
        <f>IF(AND('Mapa final'!$K$12="Media",'Mapa final'!$O$12="Leve"),CONCATENATE("R",'Mapa final'!$A$12),"")</f>
        <v/>
      </c>
      <c r="M22" s="501"/>
      <c r="N22" s="501" t="str">
        <f>IF(AND('Mapa final'!$K$14="Media",'Mapa final'!$O$14="Leve"),CONCATENATE("R",'Mapa final'!$A$14),"")</f>
        <v>R3</v>
      </c>
      <c r="O22" s="502"/>
      <c r="P22" s="500" t="str">
        <f>IF(AND('Mapa final'!$K$10="Media",'Mapa final'!$O$10="Menor"),CONCATENATE("R",'Mapa final'!$A$10),"")</f>
        <v/>
      </c>
      <c r="Q22" s="501"/>
      <c r="R22" s="501" t="str">
        <f>IF(AND('Mapa final'!$K$12="Media",'Mapa final'!$O$12="Menor"),CONCATENATE("R",'Mapa final'!$A$12),"")</f>
        <v/>
      </c>
      <c r="S22" s="501"/>
      <c r="T22" s="501" t="str">
        <f>IF(AND('Mapa final'!$K$14="Media",'Mapa final'!$O$14="Menor"),CONCATENATE("R",'Mapa final'!$A$14),"")</f>
        <v/>
      </c>
      <c r="U22" s="502"/>
      <c r="V22" s="500" t="str">
        <f>IF(AND('Mapa final'!$K$10="Media",'Mapa final'!$O$10="Moderado"),CONCATENATE("R",'Mapa final'!$A$10),"")</f>
        <v/>
      </c>
      <c r="W22" s="501"/>
      <c r="X22" s="501" t="str">
        <f>IF(AND('Mapa final'!$K$12="Media",'Mapa final'!$O$12="Moderado"),CONCATENATE("R",'Mapa final'!$A$12),"")</f>
        <v/>
      </c>
      <c r="Y22" s="501"/>
      <c r="Z22" s="501" t="str">
        <f>IF(AND('Mapa final'!$K$14="Media",'Mapa final'!$O$14="Moderado"),CONCATENATE("R",'Mapa final'!$A$14),"")</f>
        <v/>
      </c>
      <c r="AA22" s="502"/>
      <c r="AB22" s="518" t="str">
        <f>IF(AND('Mapa final'!$K$10="Media",'Mapa final'!$O$10="Mayor"),CONCATENATE("R",'Mapa final'!$A$10),"")</f>
        <v>R1</v>
      </c>
      <c r="AC22" s="519"/>
      <c r="AD22" s="519" t="str">
        <f>IF(AND('Mapa final'!$K$12="Media",'Mapa final'!$O$12="Mayor"),CONCATENATE("R",'Mapa final'!$A$12),"")</f>
        <v>R2</v>
      </c>
      <c r="AE22" s="519"/>
      <c r="AF22" s="519" t="str">
        <f>IF(AND('Mapa final'!$K$14="Media",'Mapa final'!$O$14="Mayor"),CONCATENATE("R",'Mapa final'!$A$14),"")</f>
        <v/>
      </c>
      <c r="AG22" s="520"/>
      <c r="AH22" s="509" t="str">
        <f>IF(AND('Mapa final'!$K$10="Media",'Mapa final'!$O$10="Catastrófico"),CONCATENATE("R",'Mapa final'!$A$10),"")</f>
        <v/>
      </c>
      <c r="AI22" s="510"/>
      <c r="AJ22" s="510" t="str">
        <f>IF(AND('Mapa final'!$K$12="Media",'Mapa final'!$O$12="Catastrófico"),CONCATENATE("R",'Mapa final'!$A$12),"")</f>
        <v/>
      </c>
      <c r="AK22" s="510"/>
      <c r="AL22" s="510" t="str">
        <f>IF(AND('Mapa final'!$K$14="Media",'Mapa final'!$O$14="Catastrófico"),CONCATENATE("R",'Mapa final'!$A$14),"")</f>
        <v/>
      </c>
      <c r="AM22" s="511"/>
      <c r="AN22" s="67"/>
      <c r="AO22" s="552" t="s">
        <v>80</v>
      </c>
      <c r="AP22" s="553"/>
      <c r="AQ22" s="553"/>
      <c r="AR22" s="553"/>
      <c r="AS22" s="553"/>
      <c r="AT22" s="554"/>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row>
    <row r="23" spans="1:80" x14ac:dyDescent="0.3">
      <c r="A23" s="67"/>
      <c r="B23" s="532"/>
      <c r="C23" s="532"/>
      <c r="D23" s="533"/>
      <c r="E23" s="525"/>
      <c r="F23" s="526"/>
      <c r="G23" s="526"/>
      <c r="H23" s="526"/>
      <c r="I23" s="527"/>
      <c r="J23" s="494"/>
      <c r="K23" s="495"/>
      <c r="L23" s="495"/>
      <c r="M23" s="495"/>
      <c r="N23" s="495"/>
      <c r="O23" s="496"/>
      <c r="P23" s="494"/>
      <c r="Q23" s="495"/>
      <c r="R23" s="495"/>
      <c r="S23" s="495"/>
      <c r="T23" s="495"/>
      <c r="U23" s="496"/>
      <c r="V23" s="494"/>
      <c r="W23" s="495"/>
      <c r="X23" s="495"/>
      <c r="Y23" s="495"/>
      <c r="Z23" s="495"/>
      <c r="AA23" s="496"/>
      <c r="AB23" s="512"/>
      <c r="AC23" s="513"/>
      <c r="AD23" s="513"/>
      <c r="AE23" s="513"/>
      <c r="AF23" s="513"/>
      <c r="AG23" s="514"/>
      <c r="AH23" s="503"/>
      <c r="AI23" s="504"/>
      <c r="AJ23" s="504"/>
      <c r="AK23" s="504"/>
      <c r="AL23" s="504"/>
      <c r="AM23" s="505"/>
      <c r="AN23" s="67"/>
      <c r="AO23" s="555"/>
      <c r="AP23" s="556"/>
      <c r="AQ23" s="556"/>
      <c r="AR23" s="556"/>
      <c r="AS23" s="556"/>
      <c r="AT23" s="55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row>
    <row r="24" spans="1:80" x14ac:dyDescent="0.3">
      <c r="A24" s="67"/>
      <c r="B24" s="532"/>
      <c r="C24" s="532"/>
      <c r="D24" s="533"/>
      <c r="E24" s="525"/>
      <c r="F24" s="526"/>
      <c r="G24" s="526"/>
      <c r="H24" s="526"/>
      <c r="I24" s="527"/>
      <c r="J24" s="494" t="str">
        <f>IF(AND('Mapa final'!$K$16="Media",'Mapa final'!$O$16="Leve"),CONCATENATE("R",'Mapa final'!$A$16),"")</f>
        <v/>
      </c>
      <c r="K24" s="495"/>
      <c r="L24" s="495" t="str">
        <f>IF(AND('Mapa final'!$K$22="Media",'Mapa final'!$O$22="Leve"),CONCATENATE("R",'Mapa final'!$A$22),"")</f>
        <v/>
      </c>
      <c r="M24" s="495"/>
      <c r="N24" s="495" t="str">
        <f>IF(AND('Mapa final'!$K$28="Media",'Mapa final'!$O$28="Leve"),CONCATENATE("R",'Mapa final'!$A$28),"")</f>
        <v/>
      </c>
      <c r="O24" s="496"/>
      <c r="P24" s="494" t="str">
        <f>IF(AND('Mapa final'!$K$16="Media",'Mapa final'!$O$16="Menor"),CONCATENATE("R",'Mapa final'!$A$16),"")</f>
        <v/>
      </c>
      <c r="Q24" s="495"/>
      <c r="R24" s="495" t="str">
        <f>IF(AND('Mapa final'!$K$22="Media",'Mapa final'!$O$22="Menor"),CONCATENATE("R",'Mapa final'!$A$22),"")</f>
        <v/>
      </c>
      <c r="S24" s="495"/>
      <c r="T24" s="495" t="str">
        <f>IF(AND('Mapa final'!$K$28="Media",'Mapa final'!$O$28="Menor"),CONCATENATE("R",'Mapa final'!$A$28),"")</f>
        <v/>
      </c>
      <c r="U24" s="496"/>
      <c r="V24" s="494" t="str">
        <f>IF(AND('Mapa final'!$K$16="Media",'Mapa final'!$O$16="Moderado"),CONCATENATE("R",'Mapa final'!$A$16),"")</f>
        <v/>
      </c>
      <c r="W24" s="495"/>
      <c r="X24" s="495" t="str">
        <f>IF(AND('Mapa final'!$K$22="Media",'Mapa final'!$O$22="Moderado"),CONCATENATE("R",'Mapa final'!$A$22),"")</f>
        <v/>
      </c>
      <c r="Y24" s="495"/>
      <c r="Z24" s="495" t="str">
        <f>IF(AND('Mapa final'!$K$28="Media",'Mapa final'!$O$28="Moderado"),CONCATENATE("R",'Mapa final'!$A$28),"")</f>
        <v/>
      </c>
      <c r="AA24" s="496"/>
      <c r="AB24" s="512" t="str">
        <f>IF(AND('Mapa final'!$K$16="Media",'Mapa final'!$O$16="Mayor"),CONCATENATE("R",'Mapa final'!$A$16),"")</f>
        <v/>
      </c>
      <c r="AC24" s="513"/>
      <c r="AD24" s="513" t="str">
        <f>IF(AND('Mapa final'!$K$22="Media",'Mapa final'!$O$22="Mayor"),CONCATENATE("R",'Mapa final'!$A$22),"")</f>
        <v/>
      </c>
      <c r="AE24" s="513"/>
      <c r="AF24" s="513" t="str">
        <f>IF(AND('Mapa final'!$K$28="Media",'Mapa final'!$O$28="Mayor"),CONCATENATE("R",'Mapa final'!$A$28),"")</f>
        <v/>
      </c>
      <c r="AG24" s="514"/>
      <c r="AH24" s="503" t="str">
        <f>IF(AND('Mapa final'!$K$16="Media",'Mapa final'!$O$16="Catastrófico"),CONCATENATE("R",'Mapa final'!$A$16),"")</f>
        <v/>
      </c>
      <c r="AI24" s="504"/>
      <c r="AJ24" s="504" t="str">
        <f>IF(AND('Mapa final'!$K$22="Media",'Mapa final'!$O$22="Catastrófico"),CONCATENATE("R",'Mapa final'!$A$22),"")</f>
        <v/>
      </c>
      <c r="AK24" s="504"/>
      <c r="AL24" s="504" t="str">
        <f>IF(AND('Mapa final'!$K$28="Media",'Mapa final'!$O$28="Catastrófico"),CONCATENATE("R",'Mapa final'!$A$28),"")</f>
        <v/>
      </c>
      <c r="AM24" s="505"/>
      <c r="AN24" s="67"/>
      <c r="AO24" s="555"/>
      <c r="AP24" s="556"/>
      <c r="AQ24" s="556"/>
      <c r="AR24" s="556"/>
      <c r="AS24" s="556"/>
      <c r="AT24" s="55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row>
    <row r="25" spans="1:80" x14ac:dyDescent="0.3">
      <c r="A25" s="67"/>
      <c r="B25" s="532"/>
      <c r="C25" s="532"/>
      <c r="D25" s="533"/>
      <c r="E25" s="525"/>
      <c r="F25" s="526"/>
      <c r="G25" s="526"/>
      <c r="H25" s="526"/>
      <c r="I25" s="527"/>
      <c r="J25" s="494"/>
      <c r="K25" s="495"/>
      <c r="L25" s="495"/>
      <c r="M25" s="495"/>
      <c r="N25" s="495"/>
      <c r="O25" s="496"/>
      <c r="P25" s="494"/>
      <c r="Q25" s="495"/>
      <c r="R25" s="495"/>
      <c r="S25" s="495"/>
      <c r="T25" s="495"/>
      <c r="U25" s="496"/>
      <c r="V25" s="494"/>
      <c r="W25" s="495"/>
      <c r="X25" s="495"/>
      <c r="Y25" s="495"/>
      <c r="Z25" s="495"/>
      <c r="AA25" s="496"/>
      <c r="AB25" s="512"/>
      <c r="AC25" s="513"/>
      <c r="AD25" s="513"/>
      <c r="AE25" s="513"/>
      <c r="AF25" s="513"/>
      <c r="AG25" s="514"/>
      <c r="AH25" s="503"/>
      <c r="AI25" s="504"/>
      <c r="AJ25" s="504"/>
      <c r="AK25" s="504"/>
      <c r="AL25" s="504"/>
      <c r="AM25" s="505"/>
      <c r="AN25" s="67"/>
      <c r="AO25" s="555"/>
      <c r="AP25" s="556"/>
      <c r="AQ25" s="556"/>
      <c r="AR25" s="556"/>
      <c r="AS25" s="556"/>
      <c r="AT25" s="55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row>
    <row r="26" spans="1:80" x14ac:dyDescent="0.3">
      <c r="A26" s="67"/>
      <c r="B26" s="532"/>
      <c r="C26" s="532"/>
      <c r="D26" s="533"/>
      <c r="E26" s="525"/>
      <c r="F26" s="526"/>
      <c r="G26" s="526"/>
      <c r="H26" s="526"/>
      <c r="I26" s="527"/>
      <c r="J26" s="494" t="str">
        <f>IF(AND('Mapa final'!$K$34="Media",'Mapa final'!$O$34="Leve"),CONCATENATE("R",'Mapa final'!$A$34),"")</f>
        <v/>
      </c>
      <c r="K26" s="495"/>
      <c r="L26" s="495" t="str">
        <f>IF(AND('Mapa final'!$K$40="Media",'Mapa final'!$O$40="Leve"),CONCATENATE("R",'Mapa final'!$A$40),"")</f>
        <v/>
      </c>
      <c r="M26" s="495"/>
      <c r="N26" s="495" t="str">
        <f>IF(AND('Mapa final'!$K$46="Media",'Mapa final'!$O$46="Leve"),CONCATENATE("R",'Mapa final'!$A$46),"")</f>
        <v/>
      </c>
      <c r="O26" s="496"/>
      <c r="P26" s="494" t="str">
        <f>IF(AND('Mapa final'!$K$34="Media",'Mapa final'!$O$34="Menor"),CONCATENATE("R",'Mapa final'!$A$34),"")</f>
        <v/>
      </c>
      <c r="Q26" s="495"/>
      <c r="R26" s="495" t="str">
        <f>IF(AND('Mapa final'!$K$40="Media",'Mapa final'!$O$40="Menor"),CONCATENATE("R",'Mapa final'!$A$40),"")</f>
        <v/>
      </c>
      <c r="S26" s="495"/>
      <c r="T26" s="495" t="str">
        <f>IF(AND('Mapa final'!$K$46="Media",'Mapa final'!$O$46="Menor"),CONCATENATE("R",'Mapa final'!$A$46),"")</f>
        <v/>
      </c>
      <c r="U26" s="496"/>
      <c r="V26" s="494" t="str">
        <f>IF(AND('Mapa final'!$K$34="Media",'Mapa final'!$O$34="Moderado"),CONCATENATE("R",'Mapa final'!$A$34),"")</f>
        <v/>
      </c>
      <c r="W26" s="495"/>
      <c r="X26" s="495" t="str">
        <f>IF(AND('Mapa final'!$K$40="Media",'Mapa final'!$O$40="Moderado"),CONCATENATE("R",'Mapa final'!$A$40),"")</f>
        <v/>
      </c>
      <c r="Y26" s="495"/>
      <c r="Z26" s="495" t="str">
        <f>IF(AND('Mapa final'!$K$46="Media",'Mapa final'!$O$46="Moderado"),CONCATENATE("R",'Mapa final'!$A$46),"")</f>
        <v/>
      </c>
      <c r="AA26" s="496"/>
      <c r="AB26" s="512" t="str">
        <f>IF(AND('Mapa final'!$K$34="Media",'Mapa final'!$O$34="Mayor"),CONCATENATE("R",'Mapa final'!$A$34),"")</f>
        <v/>
      </c>
      <c r="AC26" s="513"/>
      <c r="AD26" s="513" t="str">
        <f>IF(AND('Mapa final'!$K$40="Media",'Mapa final'!$O$40="Mayor"),CONCATENATE("R",'Mapa final'!$A$40),"")</f>
        <v/>
      </c>
      <c r="AE26" s="513"/>
      <c r="AF26" s="513" t="str">
        <f>IF(AND('Mapa final'!$K$46="Media",'Mapa final'!$O$46="Mayor"),CONCATENATE("R",'Mapa final'!$A$46),"")</f>
        <v/>
      </c>
      <c r="AG26" s="514"/>
      <c r="AH26" s="503" t="str">
        <f>IF(AND('Mapa final'!$K$34="Media",'Mapa final'!$O$34="Catastrófico"),CONCATENATE("R",'Mapa final'!$A$34),"")</f>
        <v/>
      </c>
      <c r="AI26" s="504"/>
      <c r="AJ26" s="504" t="str">
        <f>IF(AND('Mapa final'!$K$40="Media",'Mapa final'!$O$40="Catastrófico"),CONCATENATE("R",'Mapa final'!$A$40),"")</f>
        <v/>
      </c>
      <c r="AK26" s="504"/>
      <c r="AL26" s="504" t="str">
        <f>IF(AND('Mapa final'!$K$46="Media",'Mapa final'!$O$46="Catastrófico"),CONCATENATE("R",'Mapa final'!$A$46),"")</f>
        <v/>
      </c>
      <c r="AM26" s="505"/>
      <c r="AN26" s="67"/>
      <c r="AO26" s="555"/>
      <c r="AP26" s="556"/>
      <c r="AQ26" s="556"/>
      <c r="AR26" s="556"/>
      <c r="AS26" s="556"/>
      <c r="AT26" s="55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row>
    <row r="27" spans="1:80" x14ac:dyDescent="0.3">
      <c r="A27" s="67"/>
      <c r="B27" s="532"/>
      <c r="C27" s="532"/>
      <c r="D27" s="533"/>
      <c r="E27" s="525"/>
      <c r="F27" s="526"/>
      <c r="G27" s="526"/>
      <c r="H27" s="526"/>
      <c r="I27" s="527"/>
      <c r="J27" s="494"/>
      <c r="K27" s="495"/>
      <c r="L27" s="495"/>
      <c r="M27" s="495"/>
      <c r="N27" s="495"/>
      <c r="O27" s="496"/>
      <c r="P27" s="494"/>
      <c r="Q27" s="495"/>
      <c r="R27" s="495"/>
      <c r="S27" s="495"/>
      <c r="T27" s="495"/>
      <c r="U27" s="496"/>
      <c r="V27" s="494"/>
      <c r="W27" s="495"/>
      <c r="X27" s="495"/>
      <c r="Y27" s="495"/>
      <c r="Z27" s="495"/>
      <c r="AA27" s="496"/>
      <c r="AB27" s="512"/>
      <c r="AC27" s="513"/>
      <c r="AD27" s="513"/>
      <c r="AE27" s="513"/>
      <c r="AF27" s="513"/>
      <c r="AG27" s="514"/>
      <c r="AH27" s="503"/>
      <c r="AI27" s="504"/>
      <c r="AJ27" s="504"/>
      <c r="AK27" s="504"/>
      <c r="AL27" s="504"/>
      <c r="AM27" s="505"/>
      <c r="AN27" s="67"/>
      <c r="AO27" s="555"/>
      <c r="AP27" s="556"/>
      <c r="AQ27" s="556"/>
      <c r="AR27" s="556"/>
      <c r="AS27" s="556"/>
      <c r="AT27" s="55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row>
    <row r="28" spans="1:80" x14ac:dyDescent="0.3">
      <c r="A28" s="67"/>
      <c r="B28" s="532"/>
      <c r="C28" s="532"/>
      <c r="D28" s="533"/>
      <c r="E28" s="525"/>
      <c r="F28" s="526"/>
      <c r="G28" s="526"/>
      <c r="H28" s="526"/>
      <c r="I28" s="527"/>
      <c r="J28" s="494" t="str">
        <f>IF(AND('Mapa final'!$K$52="Media",'Mapa final'!$O$52="Leve"),CONCATENATE("R",'Mapa final'!$A$52),"")</f>
        <v/>
      </c>
      <c r="K28" s="495"/>
      <c r="L28" s="495" t="str">
        <f>IF(AND('Mapa final'!$K$58="Media",'Mapa final'!$O$58="Leve"),CONCATENATE("R",'Mapa final'!$A$58),"")</f>
        <v/>
      </c>
      <c r="M28" s="495"/>
      <c r="N28" s="495" t="str">
        <f>IF(AND('Mapa final'!$K$64="Media",'Mapa final'!$O$64="Leve"),CONCATENATE("R",'Mapa final'!$A$64),"")</f>
        <v/>
      </c>
      <c r="O28" s="496"/>
      <c r="P28" s="494" t="str">
        <f>IF(AND('Mapa final'!$K$52="Media",'Mapa final'!$O$52="Menor"),CONCATENATE("R",'Mapa final'!$A$52),"")</f>
        <v/>
      </c>
      <c r="Q28" s="495"/>
      <c r="R28" s="495" t="str">
        <f>IF(AND('Mapa final'!$K$58="Media",'Mapa final'!$O$58="Menor"),CONCATENATE("R",'Mapa final'!$A$58),"")</f>
        <v/>
      </c>
      <c r="S28" s="495"/>
      <c r="T28" s="495" t="str">
        <f>IF(AND('Mapa final'!$K$64="Media",'Mapa final'!$O$64="Menor"),CONCATENATE("R",'Mapa final'!$A$64),"")</f>
        <v/>
      </c>
      <c r="U28" s="496"/>
      <c r="V28" s="494" t="str">
        <f>IF(AND('Mapa final'!$K$52="Media",'Mapa final'!$O$52="Moderado"),CONCATENATE("R",'Mapa final'!$A$52),"")</f>
        <v/>
      </c>
      <c r="W28" s="495"/>
      <c r="X28" s="495" t="str">
        <f>IF(AND('Mapa final'!$K$58="Media",'Mapa final'!$O$58="Moderado"),CONCATENATE("R",'Mapa final'!$A$58),"")</f>
        <v/>
      </c>
      <c r="Y28" s="495"/>
      <c r="Z28" s="495" t="str">
        <f>IF(AND('Mapa final'!$K$64="Media",'Mapa final'!$O$64="Moderado"),CONCATENATE("R",'Mapa final'!$A$64),"")</f>
        <v/>
      </c>
      <c r="AA28" s="496"/>
      <c r="AB28" s="512" t="str">
        <f>IF(AND('Mapa final'!$K$52="Media",'Mapa final'!$O$52="Mayor"),CONCATENATE("R",'Mapa final'!$A$52),"")</f>
        <v/>
      </c>
      <c r="AC28" s="513"/>
      <c r="AD28" s="513" t="str">
        <f>IF(AND('Mapa final'!$K$58="Media",'Mapa final'!$O$58="Mayor"),CONCATENATE("R",'Mapa final'!$A$58),"")</f>
        <v/>
      </c>
      <c r="AE28" s="513"/>
      <c r="AF28" s="513" t="str">
        <f>IF(AND('Mapa final'!$K$64="Media",'Mapa final'!$O$64="Mayor"),CONCATENATE("R",'Mapa final'!$A$64),"")</f>
        <v/>
      </c>
      <c r="AG28" s="514"/>
      <c r="AH28" s="503" t="str">
        <f>IF(AND('Mapa final'!$K$52="Media",'Mapa final'!$O$52="Catastrófico"),CONCATENATE("R",'Mapa final'!$A$52),"")</f>
        <v/>
      </c>
      <c r="AI28" s="504"/>
      <c r="AJ28" s="504" t="str">
        <f>IF(AND('Mapa final'!$K$58="Media",'Mapa final'!$O$58="Catastrófico"),CONCATENATE("R",'Mapa final'!$A$58),"")</f>
        <v/>
      </c>
      <c r="AK28" s="504"/>
      <c r="AL28" s="504" t="str">
        <f>IF(AND('Mapa final'!$K$64="Media",'Mapa final'!$O$64="Catastrófico"),CONCATENATE("R",'Mapa final'!$A$64),"")</f>
        <v/>
      </c>
      <c r="AM28" s="505"/>
      <c r="AN28" s="67"/>
      <c r="AO28" s="555"/>
      <c r="AP28" s="556"/>
      <c r="AQ28" s="556"/>
      <c r="AR28" s="556"/>
      <c r="AS28" s="556"/>
      <c r="AT28" s="55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row>
    <row r="29" spans="1:80" ht="15" thickBot="1" x14ac:dyDescent="0.35">
      <c r="A29" s="67"/>
      <c r="B29" s="532"/>
      <c r="C29" s="532"/>
      <c r="D29" s="533"/>
      <c r="E29" s="528"/>
      <c r="F29" s="529"/>
      <c r="G29" s="529"/>
      <c r="H29" s="529"/>
      <c r="I29" s="530"/>
      <c r="J29" s="494"/>
      <c r="K29" s="495"/>
      <c r="L29" s="495"/>
      <c r="M29" s="495"/>
      <c r="N29" s="495"/>
      <c r="O29" s="496"/>
      <c r="P29" s="497"/>
      <c r="Q29" s="498"/>
      <c r="R29" s="498"/>
      <c r="S29" s="498"/>
      <c r="T29" s="498"/>
      <c r="U29" s="499"/>
      <c r="V29" s="497"/>
      <c r="W29" s="498"/>
      <c r="X29" s="498"/>
      <c r="Y29" s="498"/>
      <c r="Z29" s="498"/>
      <c r="AA29" s="499"/>
      <c r="AB29" s="515"/>
      <c r="AC29" s="516"/>
      <c r="AD29" s="516"/>
      <c r="AE29" s="516"/>
      <c r="AF29" s="516"/>
      <c r="AG29" s="517"/>
      <c r="AH29" s="506"/>
      <c r="AI29" s="507"/>
      <c r="AJ29" s="507"/>
      <c r="AK29" s="507"/>
      <c r="AL29" s="507"/>
      <c r="AM29" s="508"/>
      <c r="AN29" s="67"/>
      <c r="AO29" s="558"/>
      <c r="AP29" s="559"/>
      <c r="AQ29" s="559"/>
      <c r="AR29" s="559"/>
      <c r="AS29" s="559"/>
      <c r="AT29" s="560"/>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row>
    <row r="30" spans="1:80" x14ac:dyDescent="0.3">
      <c r="A30" s="67"/>
      <c r="B30" s="532"/>
      <c r="C30" s="532"/>
      <c r="D30" s="533"/>
      <c r="E30" s="522" t="s">
        <v>109</v>
      </c>
      <c r="F30" s="523"/>
      <c r="G30" s="523"/>
      <c r="H30" s="523"/>
      <c r="I30" s="523"/>
      <c r="J30" s="491" t="str">
        <f>IF(AND('Mapa final'!$K$10="Baja",'Mapa final'!$O$10="Leve"),CONCATENATE("R",'Mapa final'!$A$10),"")</f>
        <v/>
      </c>
      <c r="K30" s="492"/>
      <c r="L30" s="492" t="str">
        <f>IF(AND('Mapa final'!$K$12="Baja",'Mapa final'!$O$12="Leve"),CONCATENATE("R",'Mapa final'!$A$12),"")</f>
        <v/>
      </c>
      <c r="M30" s="492"/>
      <c r="N30" s="492" t="str">
        <f>IF(AND('Mapa final'!$K$14="Baja",'Mapa final'!$O$14="Leve"),CONCATENATE("R",'Mapa final'!$A$14),"")</f>
        <v/>
      </c>
      <c r="O30" s="493"/>
      <c r="P30" s="501" t="str">
        <f>IF(AND('Mapa final'!$K$10="Baja",'Mapa final'!$O$10="Menor"),CONCATENATE("R",'Mapa final'!$A$10),"")</f>
        <v/>
      </c>
      <c r="Q30" s="501"/>
      <c r="R30" s="501" t="str">
        <f>IF(AND('Mapa final'!$K$12="Baja",'Mapa final'!$O$12="Menor"),CONCATENATE("R",'Mapa final'!$A$12),"")</f>
        <v/>
      </c>
      <c r="S30" s="501"/>
      <c r="T30" s="501" t="str">
        <f>IF(AND('Mapa final'!$K$14="Baja",'Mapa final'!$O$14="Menor"),CONCATENATE("R",'Mapa final'!$A$14),"")</f>
        <v/>
      </c>
      <c r="U30" s="502"/>
      <c r="V30" s="500" t="str">
        <f>IF(AND('Mapa final'!$K$10="Baja",'Mapa final'!$O$10="Moderado"),CONCATENATE("R",'Mapa final'!$A$10),"")</f>
        <v/>
      </c>
      <c r="W30" s="501"/>
      <c r="X30" s="501" t="str">
        <f>IF(AND('Mapa final'!$K$12="Baja",'Mapa final'!$O$12="Moderado"),CONCATENATE("R",'Mapa final'!$A$12),"")</f>
        <v/>
      </c>
      <c r="Y30" s="501"/>
      <c r="Z30" s="501" t="str">
        <f>IF(AND('Mapa final'!$K$14="Baja",'Mapa final'!$O$14="Moderado"),CONCATENATE("R",'Mapa final'!$A$14),"")</f>
        <v/>
      </c>
      <c r="AA30" s="502"/>
      <c r="AB30" s="518" t="str">
        <f>IF(AND('Mapa final'!$K$10="Baja",'Mapa final'!$O$10="Mayor"),CONCATENATE("R",'Mapa final'!$A$10),"")</f>
        <v/>
      </c>
      <c r="AC30" s="519"/>
      <c r="AD30" s="519" t="str">
        <f>IF(AND('Mapa final'!$K$12="Baja",'Mapa final'!$O$12="Mayor"),CONCATENATE("R",'Mapa final'!$A$12),"")</f>
        <v/>
      </c>
      <c r="AE30" s="519"/>
      <c r="AF30" s="519" t="str">
        <f>IF(AND('Mapa final'!$K$14="Baja",'Mapa final'!$O$14="Mayor"),CONCATENATE("R",'Mapa final'!$A$14),"")</f>
        <v/>
      </c>
      <c r="AG30" s="520"/>
      <c r="AH30" s="509" t="str">
        <f>IF(AND('Mapa final'!$K$10="Baja",'Mapa final'!$O$10="Catastrófico"),CONCATENATE("R",'Mapa final'!$A$10),"")</f>
        <v/>
      </c>
      <c r="AI30" s="510"/>
      <c r="AJ30" s="510" t="str">
        <f>IF(AND('Mapa final'!$K$12="Baja",'Mapa final'!$O$12="Catastrófico"),CONCATENATE("R",'Mapa final'!$A$12),"")</f>
        <v/>
      </c>
      <c r="AK30" s="510"/>
      <c r="AL30" s="510" t="str">
        <f>IF(AND('Mapa final'!$K$14="Baja",'Mapa final'!$O$14="Catastrófico"),CONCATENATE("R",'Mapa final'!$A$14),"")</f>
        <v/>
      </c>
      <c r="AM30" s="511"/>
      <c r="AN30" s="67"/>
      <c r="AO30" s="561" t="s">
        <v>81</v>
      </c>
      <c r="AP30" s="562"/>
      <c r="AQ30" s="562"/>
      <c r="AR30" s="562"/>
      <c r="AS30" s="562"/>
      <c r="AT30" s="563"/>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row>
    <row r="31" spans="1:80" x14ac:dyDescent="0.3">
      <c r="A31" s="67"/>
      <c r="B31" s="532"/>
      <c r="C31" s="532"/>
      <c r="D31" s="533"/>
      <c r="E31" s="525"/>
      <c r="F31" s="526"/>
      <c r="G31" s="526"/>
      <c r="H31" s="526"/>
      <c r="I31" s="526"/>
      <c r="J31" s="485"/>
      <c r="K31" s="486"/>
      <c r="L31" s="486"/>
      <c r="M31" s="486"/>
      <c r="N31" s="486"/>
      <c r="O31" s="487"/>
      <c r="P31" s="495"/>
      <c r="Q31" s="495"/>
      <c r="R31" s="495"/>
      <c r="S31" s="495"/>
      <c r="T31" s="495"/>
      <c r="U31" s="496"/>
      <c r="V31" s="494"/>
      <c r="W31" s="495"/>
      <c r="X31" s="495"/>
      <c r="Y31" s="495"/>
      <c r="Z31" s="495"/>
      <c r="AA31" s="496"/>
      <c r="AB31" s="512"/>
      <c r="AC31" s="513"/>
      <c r="AD31" s="513"/>
      <c r="AE31" s="513"/>
      <c r="AF31" s="513"/>
      <c r="AG31" s="514"/>
      <c r="AH31" s="503"/>
      <c r="AI31" s="504"/>
      <c r="AJ31" s="504"/>
      <c r="AK31" s="504"/>
      <c r="AL31" s="504"/>
      <c r="AM31" s="505"/>
      <c r="AN31" s="67"/>
      <c r="AO31" s="564"/>
      <c r="AP31" s="565"/>
      <c r="AQ31" s="565"/>
      <c r="AR31" s="565"/>
      <c r="AS31" s="565"/>
      <c r="AT31" s="566"/>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row>
    <row r="32" spans="1:80" x14ac:dyDescent="0.3">
      <c r="A32" s="67"/>
      <c r="B32" s="532"/>
      <c r="C32" s="532"/>
      <c r="D32" s="533"/>
      <c r="E32" s="525"/>
      <c r="F32" s="526"/>
      <c r="G32" s="526"/>
      <c r="H32" s="526"/>
      <c r="I32" s="526"/>
      <c r="J32" s="485" t="str">
        <f>IF(AND('Mapa final'!$K$16="Baja",'Mapa final'!$O$16="Leve"),CONCATENATE("R",'Mapa final'!$A$16),"")</f>
        <v/>
      </c>
      <c r="K32" s="486"/>
      <c r="L32" s="486" t="str">
        <f>IF(AND('Mapa final'!$K$22="Baja",'Mapa final'!$O$22="Leve"),CONCATENATE("R",'Mapa final'!$A$22),"")</f>
        <v/>
      </c>
      <c r="M32" s="486"/>
      <c r="N32" s="486" t="str">
        <f>IF(AND('Mapa final'!$K$28="Baja",'Mapa final'!$O$28="Leve"),CONCATENATE("R",'Mapa final'!$A$28),"")</f>
        <v/>
      </c>
      <c r="O32" s="487"/>
      <c r="P32" s="495" t="str">
        <f>IF(AND('Mapa final'!$K$16="Baja",'Mapa final'!$O$16="Menor"),CONCATENATE("R",'Mapa final'!$A$16),"")</f>
        <v/>
      </c>
      <c r="Q32" s="495"/>
      <c r="R32" s="495" t="str">
        <f>IF(AND('Mapa final'!$K$22="Baja",'Mapa final'!$O$22="Menor"),CONCATENATE("R",'Mapa final'!$A$22),"")</f>
        <v/>
      </c>
      <c r="S32" s="495"/>
      <c r="T32" s="495" t="str">
        <f>IF(AND('Mapa final'!$K$28="Baja",'Mapa final'!$O$28="Menor"),CONCATENATE("R",'Mapa final'!$A$28),"")</f>
        <v/>
      </c>
      <c r="U32" s="496"/>
      <c r="V32" s="494" t="str">
        <f>IF(AND('Mapa final'!$K$16="Baja",'Mapa final'!$O$16="Moderado"),CONCATENATE("R",'Mapa final'!$A$16),"")</f>
        <v/>
      </c>
      <c r="W32" s="495"/>
      <c r="X32" s="495" t="str">
        <f>IF(AND('Mapa final'!$K$22="Baja",'Mapa final'!$O$22="Moderado"),CONCATENATE("R",'Mapa final'!$A$22),"")</f>
        <v/>
      </c>
      <c r="Y32" s="495"/>
      <c r="Z32" s="495" t="str">
        <f>IF(AND('Mapa final'!$K$28="Baja",'Mapa final'!$O$28="Moderado"),CONCATENATE("R",'Mapa final'!$A$28),"")</f>
        <v/>
      </c>
      <c r="AA32" s="496"/>
      <c r="AB32" s="512" t="str">
        <f>IF(AND('Mapa final'!$K$16="Baja",'Mapa final'!$O$16="Mayor"),CONCATENATE("R",'Mapa final'!$A$16),"")</f>
        <v/>
      </c>
      <c r="AC32" s="513"/>
      <c r="AD32" s="513" t="str">
        <f>IF(AND('Mapa final'!$K$22="Baja",'Mapa final'!$O$22="Mayor"),CONCATENATE("R",'Mapa final'!$A$22),"")</f>
        <v/>
      </c>
      <c r="AE32" s="513"/>
      <c r="AF32" s="513" t="str">
        <f>IF(AND('Mapa final'!$K$28="Baja",'Mapa final'!$O$28="Mayor"),CONCATENATE("R",'Mapa final'!$A$28),"")</f>
        <v/>
      </c>
      <c r="AG32" s="514"/>
      <c r="AH32" s="503" t="str">
        <f>IF(AND('Mapa final'!$K$16="Baja",'Mapa final'!$O$16="Catastrófico"),CONCATENATE("R",'Mapa final'!$A$16),"")</f>
        <v/>
      </c>
      <c r="AI32" s="504"/>
      <c r="AJ32" s="504" t="str">
        <f>IF(AND('Mapa final'!$K$22="Baja",'Mapa final'!$O$22="Catastrófico"),CONCATENATE("R",'Mapa final'!$A$22),"")</f>
        <v/>
      </c>
      <c r="AK32" s="504"/>
      <c r="AL32" s="504" t="str">
        <f>IF(AND('Mapa final'!$K$28="Baja",'Mapa final'!$O$28="Catastrófico"),CONCATENATE("R",'Mapa final'!$A$28),"")</f>
        <v/>
      </c>
      <c r="AM32" s="505"/>
      <c r="AN32" s="67"/>
      <c r="AO32" s="564"/>
      <c r="AP32" s="565"/>
      <c r="AQ32" s="565"/>
      <c r="AR32" s="565"/>
      <c r="AS32" s="565"/>
      <c r="AT32" s="566"/>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row>
    <row r="33" spans="1:80" x14ac:dyDescent="0.3">
      <c r="A33" s="67"/>
      <c r="B33" s="532"/>
      <c r="C33" s="532"/>
      <c r="D33" s="533"/>
      <c r="E33" s="525"/>
      <c r="F33" s="526"/>
      <c r="G33" s="526"/>
      <c r="H33" s="526"/>
      <c r="I33" s="526"/>
      <c r="J33" s="485"/>
      <c r="K33" s="486"/>
      <c r="L33" s="486"/>
      <c r="M33" s="486"/>
      <c r="N33" s="486"/>
      <c r="O33" s="487"/>
      <c r="P33" s="495"/>
      <c r="Q33" s="495"/>
      <c r="R33" s="495"/>
      <c r="S33" s="495"/>
      <c r="T33" s="495"/>
      <c r="U33" s="496"/>
      <c r="V33" s="494"/>
      <c r="W33" s="495"/>
      <c r="X33" s="495"/>
      <c r="Y33" s="495"/>
      <c r="Z33" s="495"/>
      <c r="AA33" s="496"/>
      <c r="AB33" s="512"/>
      <c r="AC33" s="513"/>
      <c r="AD33" s="513"/>
      <c r="AE33" s="513"/>
      <c r="AF33" s="513"/>
      <c r="AG33" s="514"/>
      <c r="AH33" s="503"/>
      <c r="AI33" s="504"/>
      <c r="AJ33" s="504"/>
      <c r="AK33" s="504"/>
      <c r="AL33" s="504"/>
      <c r="AM33" s="505"/>
      <c r="AN33" s="67"/>
      <c r="AO33" s="564"/>
      <c r="AP33" s="565"/>
      <c r="AQ33" s="565"/>
      <c r="AR33" s="565"/>
      <c r="AS33" s="565"/>
      <c r="AT33" s="566"/>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row>
    <row r="34" spans="1:80" x14ac:dyDescent="0.3">
      <c r="A34" s="67"/>
      <c r="B34" s="532"/>
      <c r="C34" s="532"/>
      <c r="D34" s="533"/>
      <c r="E34" s="525"/>
      <c r="F34" s="526"/>
      <c r="G34" s="526"/>
      <c r="H34" s="526"/>
      <c r="I34" s="526"/>
      <c r="J34" s="485" t="str">
        <f>IF(AND('Mapa final'!$K$34="Baja",'Mapa final'!$O$34="Leve"),CONCATENATE("R",'Mapa final'!$A$34),"")</f>
        <v/>
      </c>
      <c r="K34" s="486"/>
      <c r="L34" s="486" t="str">
        <f>IF(AND('Mapa final'!$K$40="Baja",'Mapa final'!$O$40="Leve"),CONCATENATE("R",'Mapa final'!$A$40),"")</f>
        <v/>
      </c>
      <c r="M34" s="486"/>
      <c r="N34" s="486" t="str">
        <f>IF(AND('Mapa final'!$K$46="Baja",'Mapa final'!$O$46="Leve"),CONCATENATE("R",'Mapa final'!$A$46),"")</f>
        <v/>
      </c>
      <c r="O34" s="487"/>
      <c r="P34" s="495" t="str">
        <f>IF(AND('Mapa final'!$K$34="Baja",'Mapa final'!$O$34="Menor"),CONCATENATE("R",'Mapa final'!$A$34),"")</f>
        <v/>
      </c>
      <c r="Q34" s="495"/>
      <c r="R34" s="495" t="str">
        <f>IF(AND('Mapa final'!$K$40="Baja",'Mapa final'!$O$40="Menor"),CONCATENATE("R",'Mapa final'!$A$40),"")</f>
        <v/>
      </c>
      <c r="S34" s="495"/>
      <c r="T34" s="495" t="str">
        <f>IF(AND('Mapa final'!$K$46="Baja",'Mapa final'!$O$46="Menor"),CONCATENATE("R",'Mapa final'!$A$46),"")</f>
        <v/>
      </c>
      <c r="U34" s="496"/>
      <c r="V34" s="494" t="str">
        <f>IF(AND('Mapa final'!$K$34="Baja",'Mapa final'!$O$34="Moderado"),CONCATENATE("R",'Mapa final'!$A$34),"")</f>
        <v/>
      </c>
      <c r="W34" s="495"/>
      <c r="X34" s="495" t="str">
        <f>IF(AND('Mapa final'!$K$40="Baja",'Mapa final'!$O$40="Moderado"),CONCATENATE("R",'Mapa final'!$A$40),"")</f>
        <v/>
      </c>
      <c r="Y34" s="495"/>
      <c r="Z34" s="495" t="str">
        <f>IF(AND('Mapa final'!$K$46="Baja",'Mapa final'!$O$46="Moderado"),CONCATENATE("R",'Mapa final'!$A$46),"")</f>
        <v/>
      </c>
      <c r="AA34" s="496"/>
      <c r="AB34" s="512" t="str">
        <f>IF(AND('Mapa final'!$K$34="Baja",'Mapa final'!$O$34="Mayor"),CONCATENATE("R",'Mapa final'!$A$34),"")</f>
        <v/>
      </c>
      <c r="AC34" s="513"/>
      <c r="AD34" s="513" t="str">
        <f>IF(AND('Mapa final'!$K$40="Baja",'Mapa final'!$O$40="Mayor"),CONCATENATE("R",'Mapa final'!$A$40),"")</f>
        <v/>
      </c>
      <c r="AE34" s="513"/>
      <c r="AF34" s="513" t="str">
        <f>IF(AND('Mapa final'!$K$46="Baja",'Mapa final'!$O$46="Mayor"),CONCATENATE("R",'Mapa final'!$A$46),"")</f>
        <v/>
      </c>
      <c r="AG34" s="514"/>
      <c r="AH34" s="503" t="str">
        <f>IF(AND('Mapa final'!$K$34="Baja",'Mapa final'!$O$34="Catastrófico"),CONCATENATE("R",'Mapa final'!$A$34),"")</f>
        <v/>
      </c>
      <c r="AI34" s="504"/>
      <c r="AJ34" s="504" t="str">
        <f>IF(AND('Mapa final'!$K$40="Baja",'Mapa final'!$O$40="Catastrófico"),CONCATENATE("R",'Mapa final'!$A$40),"")</f>
        <v/>
      </c>
      <c r="AK34" s="504"/>
      <c r="AL34" s="504" t="str">
        <f>IF(AND('Mapa final'!$K$46="Baja",'Mapa final'!$O$46="Catastrófico"),CONCATENATE("R",'Mapa final'!$A$46),"")</f>
        <v/>
      </c>
      <c r="AM34" s="505"/>
      <c r="AN34" s="67"/>
      <c r="AO34" s="564"/>
      <c r="AP34" s="565"/>
      <c r="AQ34" s="565"/>
      <c r="AR34" s="565"/>
      <c r="AS34" s="565"/>
      <c r="AT34" s="566"/>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row>
    <row r="35" spans="1:80" x14ac:dyDescent="0.3">
      <c r="A35" s="67"/>
      <c r="B35" s="532"/>
      <c r="C35" s="532"/>
      <c r="D35" s="533"/>
      <c r="E35" s="525"/>
      <c r="F35" s="526"/>
      <c r="G35" s="526"/>
      <c r="H35" s="526"/>
      <c r="I35" s="526"/>
      <c r="J35" s="485"/>
      <c r="K35" s="486"/>
      <c r="L35" s="486"/>
      <c r="M35" s="486"/>
      <c r="N35" s="486"/>
      <c r="O35" s="487"/>
      <c r="P35" s="495"/>
      <c r="Q35" s="495"/>
      <c r="R35" s="495"/>
      <c r="S35" s="495"/>
      <c r="T35" s="495"/>
      <c r="U35" s="496"/>
      <c r="V35" s="494"/>
      <c r="W35" s="495"/>
      <c r="X35" s="495"/>
      <c r="Y35" s="495"/>
      <c r="Z35" s="495"/>
      <c r="AA35" s="496"/>
      <c r="AB35" s="512"/>
      <c r="AC35" s="513"/>
      <c r="AD35" s="513"/>
      <c r="AE35" s="513"/>
      <c r="AF35" s="513"/>
      <c r="AG35" s="514"/>
      <c r="AH35" s="503"/>
      <c r="AI35" s="504"/>
      <c r="AJ35" s="504"/>
      <c r="AK35" s="504"/>
      <c r="AL35" s="504"/>
      <c r="AM35" s="505"/>
      <c r="AN35" s="67"/>
      <c r="AO35" s="564"/>
      <c r="AP35" s="565"/>
      <c r="AQ35" s="565"/>
      <c r="AR35" s="565"/>
      <c r="AS35" s="565"/>
      <c r="AT35" s="566"/>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row>
    <row r="36" spans="1:80" x14ac:dyDescent="0.3">
      <c r="A36" s="67"/>
      <c r="B36" s="532"/>
      <c r="C36" s="532"/>
      <c r="D36" s="533"/>
      <c r="E36" s="525"/>
      <c r="F36" s="526"/>
      <c r="G36" s="526"/>
      <c r="H36" s="526"/>
      <c r="I36" s="526"/>
      <c r="J36" s="485" t="str">
        <f>IF(AND('Mapa final'!$K$52="Baja",'Mapa final'!$O$52="Leve"),CONCATENATE("R",'Mapa final'!$A$52),"")</f>
        <v/>
      </c>
      <c r="K36" s="486"/>
      <c r="L36" s="486" t="str">
        <f>IF(AND('Mapa final'!$K$58="Baja",'Mapa final'!$O$58="Leve"),CONCATENATE("R",'Mapa final'!$A$58),"")</f>
        <v/>
      </c>
      <c r="M36" s="486"/>
      <c r="N36" s="486" t="str">
        <f>IF(AND('Mapa final'!$K$64="Baja",'Mapa final'!$O$64="Leve"),CONCATENATE("R",'Mapa final'!$A$64),"")</f>
        <v/>
      </c>
      <c r="O36" s="487"/>
      <c r="P36" s="495" t="str">
        <f>IF(AND('Mapa final'!$K$52="Baja",'Mapa final'!$O$52="Menor"),CONCATENATE("R",'Mapa final'!$A$52),"")</f>
        <v/>
      </c>
      <c r="Q36" s="495"/>
      <c r="R36" s="495" t="str">
        <f>IF(AND('Mapa final'!$K$58="Baja",'Mapa final'!$O$58="Menor"),CONCATENATE("R",'Mapa final'!$A$58),"")</f>
        <v/>
      </c>
      <c r="S36" s="495"/>
      <c r="T36" s="495" t="str">
        <f>IF(AND('Mapa final'!$K$64="Baja",'Mapa final'!$O$64="Menor"),CONCATENATE("R",'Mapa final'!$A$64),"")</f>
        <v/>
      </c>
      <c r="U36" s="496"/>
      <c r="V36" s="494" t="str">
        <f>IF(AND('Mapa final'!$K$52="Baja",'Mapa final'!$O$52="Moderado"),CONCATENATE("R",'Mapa final'!$A$52),"")</f>
        <v/>
      </c>
      <c r="W36" s="495"/>
      <c r="X36" s="495" t="str">
        <f>IF(AND('Mapa final'!$K$58="Baja",'Mapa final'!$O$58="Moderado"),CONCATENATE("R",'Mapa final'!$A$58),"")</f>
        <v/>
      </c>
      <c r="Y36" s="495"/>
      <c r="Z36" s="495" t="str">
        <f>IF(AND('Mapa final'!$K$64="Baja",'Mapa final'!$O$64="Moderado"),CONCATENATE("R",'Mapa final'!$A$64),"")</f>
        <v/>
      </c>
      <c r="AA36" s="496"/>
      <c r="AB36" s="512" t="str">
        <f>IF(AND('Mapa final'!$K$52="Baja",'Mapa final'!$O$52="Mayor"),CONCATENATE("R",'Mapa final'!$A$52),"")</f>
        <v/>
      </c>
      <c r="AC36" s="513"/>
      <c r="AD36" s="513" t="str">
        <f>IF(AND('Mapa final'!$K$58="Baja",'Mapa final'!$O$58="Mayor"),CONCATENATE("R",'Mapa final'!$A$58),"")</f>
        <v/>
      </c>
      <c r="AE36" s="513"/>
      <c r="AF36" s="513" t="str">
        <f>IF(AND('Mapa final'!$K$64="Baja",'Mapa final'!$O$64="Mayor"),CONCATENATE("R",'Mapa final'!$A$64),"")</f>
        <v/>
      </c>
      <c r="AG36" s="514"/>
      <c r="AH36" s="503" t="str">
        <f>IF(AND('Mapa final'!$K$52="Baja",'Mapa final'!$O$52="Catastrófico"),CONCATENATE("R",'Mapa final'!$A$52),"")</f>
        <v/>
      </c>
      <c r="AI36" s="504"/>
      <c r="AJ36" s="504" t="str">
        <f>IF(AND('Mapa final'!$K$58="Baja",'Mapa final'!$O$58="Catastrófico"),CONCATENATE("R",'Mapa final'!$A$58),"")</f>
        <v/>
      </c>
      <c r="AK36" s="504"/>
      <c r="AL36" s="504" t="str">
        <f>IF(AND('Mapa final'!$K$64="Baja",'Mapa final'!$O$64="Catastrófico"),CONCATENATE("R",'Mapa final'!$A$64),"")</f>
        <v/>
      </c>
      <c r="AM36" s="505"/>
      <c r="AN36" s="67"/>
      <c r="AO36" s="564"/>
      <c r="AP36" s="565"/>
      <c r="AQ36" s="565"/>
      <c r="AR36" s="565"/>
      <c r="AS36" s="565"/>
      <c r="AT36" s="566"/>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row>
    <row r="37" spans="1:80" ht="15" thickBot="1" x14ac:dyDescent="0.35">
      <c r="A37" s="67"/>
      <c r="B37" s="532"/>
      <c r="C37" s="532"/>
      <c r="D37" s="533"/>
      <c r="E37" s="528"/>
      <c r="F37" s="529"/>
      <c r="G37" s="529"/>
      <c r="H37" s="529"/>
      <c r="I37" s="529"/>
      <c r="J37" s="488"/>
      <c r="K37" s="489"/>
      <c r="L37" s="489"/>
      <c r="M37" s="489"/>
      <c r="N37" s="489"/>
      <c r="O37" s="490"/>
      <c r="P37" s="498"/>
      <c r="Q37" s="498"/>
      <c r="R37" s="498"/>
      <c r="S37" s="498"/>
      <c r="T37" s="498"/>
      <c r="U37" s="499"/>
      <c r="V37" s="497"/>
      <c r="W37" s="498"/>
      <c r="X37" s="498"/>
      <c r="Y37" s="498"/>
      <c r="Z37" s="498"/>
      <c r="AA37" s="499"/>
      <c r="AB37" s="515"/>
      <c r="AC37" s="516"/>
      <c r="AD37" s="516"/>
      <c r="AE37" s="516"/>
      <c r="AF37" s="516"/>
      <c r="AG37" s="517"/>
      <c r="AH37" s="506"/>
      <c r="AI37" s="507"/>
      <c r="AJ37" s="507"/>
      <c r="AK37" s="507"/>
      <c r="AL37" s="507"/>
      <c r="AM37" s="508"/>
      <c r="AN37" s="67"/>
      <c r="AO37" s="567"/>
      <c r="AP37" s="568"/>
      <c r="AQ37" s="568"/>
      <c r="AR37" s="568"/>
      <c r="AS37" s="568"/>
      <c r="AT37" s="569"/>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c r="BY37" s="67"/>
      <c r="BZ37" s="67"/>
      <c r="CA37" s="67"/>
      <c r="CB37" s="67"/>
    </row>
    <row r="38" spans="1:80" x14ac:dyDescent="0.3">
      <c r="A38" s="67"/>
      <c r="B38" s="532"/>
      <c r="C38" s="532"/>
      <c r="D38" s="533"/>
      <c r="E38" s="522" t="s">
        <v>108</v>
      </c>
      <c r="F38" s="523"/>
      <c r="G38" s="523"/>
      <c r="H38" s="523"/>
      <c r="I38" s="524"/>
      <c r="J38" s="491" t="str">
        <f>IF(AND('Mapa final'!$K$10="Muy Baja",'Mapa final'!$O$10="Leve"),CONCATENATE("R",'Mapa final'!$A$10),"")</f>
        <v/>
      </c>
      <c r="K38" s="492"/>
      <c r="L38" s="492" t="str">
        <f>IF(AND('Mapa final'!$K$12="Muy Baja",'Mapa final'!$O$12="Leve"),CONCATENATE("R",'Mapa final'!$A$12),"")</f>
        <v/>
      </c>
      <c r="M38" s="492"/>
      <c r="N38" s="492" t="str">
        <f>IF(AND('Mapa final'!$K$14="Muy Baja",'Mapa final'!$O$14="Leve"),CONCATENATE("R",'Mapa final'!$A$14),"")</f>
        <v/>
      </c>
      <c r="O38" s="493"/>
      <c r="P38" s="491" t="str">
        <f>IF(AND('Mapa final'!$K$10="Muy Baja",'Mapa final'!$O$10="Menor"),CONCATENATE("R",'Mapa final'!$A$10),"")</f>
        <v/>
      </c>
      <c r="Q38" s="492"/>
      <c r="R38" s="492" t="str">
        <f>IF(AND('Mapa final'!$K$12="Muy Baja",'Mapa final'!$O$12="Menor"),CONCATENATE("R",'Mapa final'!$A$12),"")</f>
        <v/>
      </c>
      <c r="S38" s="492"/>
      <c r="T38" s="492" t="str">
        <f>IF(AND('Mapa final'!$K$14="Muy Baja",'Mapa final'!$O$14="Menor"),CONCATENATE("R",'Mapa final'!$A$14),"")</f>
        <v/>
      </c>
      <c r="U38" s="493"/>
      <c r="V38" s="500" t="str">
        <f>IF(AND('Mapa final'!$K$10="Muy Baja",'Mapa final'!$O$10="Moderado"),CONCATENATE("R",'Mapa final'!$A$10),"")</f>
        <v/>
      </c>
      <c r="W38" s="501"/>
      <c r="X38" s="501" t="str">
        <f>IF(AND('Mapa final'!$K$12="Muy Baja",'Mapa final'!$O$12="Moderado"),CONCATENATE("R",'Mapa final'!$A$12),"")</f>
        <v/>
      </c>
      <c r="Y38" s="501"/>
      <c r="Z38" s="501" t="str">
        <f>IF(AND('Mapa final'!$K$14="Muy Baja",'Mapa final'!$O$14="Moderado"),CONCATENATE("R",'Mapa final'!$A$14),"")</f>
        <v/>
      </c>
      <c r="AA38" s="502"/>
      <c r="AB38" s="518" t="str">
        <f>IF(AND('Mapa final'!$K$10="Muy Baja",'Mapa final'!$O$10="Mayor"),CONCATENATE("R",'Mapa final'!$A$10),"")</f>
        <v/>
      </c>
      <c r="AC38" s="519"/>
      <c r="AD38" s="519" t="str">
        <f>IF(AND('Mapa final'!$K$12="Muy Baja",'Mapa final'!$O$12="Mayor"),CONCATENATE("R",'Mapa final'!$A$12),"")</f>
        <v/>
      </c>
      <c r="AE38" s="519"/>
      <c r="AF38" s="519" t="str">
        <f>IF(AND('Mapa final'!$K$14="Muy Baja",'Mapa final'!$O$14="Mayor"),CONCATENATE("R",'Mapa final'!$A$14),"")</f>
        <v/>
      </c>
      <c r="AG38" s="520"/>
      <c r="AH38" s="509" t="str">
        <f>IF(AND('Mapa final'!$K$10="Muy Baja",'Mapa final'!$O$10="Catastrófico"),CONCATENATE("R",'Mapa final'!$A$10),"")</f>
        <v/>
      </c>
      <c r="AI38" s="510"/>
      <c r="AJ38" s="510" t="str">
        <f>IF(AND('Mapa final'!$K$12="Muy Baja",'Mapa final'!$O$12="Catastrófico"),CONCATENATE("R",'Mapa final'!$A$12),"")</f>
        <v/>
      </c>
      <c r="AK38" s="510"/>
      <c r="AL38" s="510" t="str">
        <f>IF(AND('Mapa final'!$K$14="Muy Baja",'Mapa final'!$O$14="Catastrófico"),CONCATENATE("R",'Mapa final'!$A$14),"")</f>
        <v/>
      </c>
      <c r="AM38" s="511"/>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row>
    <row r="39" spans="1:80" x14ac:dyDescent="0.3">
      <c r="A39" s="67"/>
      <c r="B39" s="532"/>
      <c r="C39" s="532"/>
      <c r="D39" s="533"/>
      <c r="E39" s="525"/>
      <c r="F39" s="526"/>
      <c r="G39" s="526"/>
      <c r="H39" s="526"/>
      <c r="I39" s="527"/>
      <c r="J39" s="485"/>
      <c r="K39" s="486"/>
      <c r="L39" s="486"/>
      <c r="M39" s="486"/>
      <c r="N39" s="486"/>
      <c r="O39" s="487"/>
      <c r="P39" s="485"/>
      <c r="Q39" s="486"/>
      <c r="R39" s="486"/>
      <c r="S39" s="486"/>
      <c r="T39" s="486"/>
      <c r="U39" s="487"/>
      <c r="V39" s="494"/>
      <c r="W39" s="495"/>
      <c r="X39" s="495"/>
      <c r="Y39" s="495"/>
      <c r="Z39" s="495"/>
      <c r="AA39" s="496"/>
      <c r="AB39" s="512"/>
      <c r="AC39" s="513"/>
      <c r="AD39" s="513"/>
      <c r="AE39" s="513"/>
      <c r="AF39" s="513"/>
      <c r="AG39" s="514"/>
      <c r="AH39" s="503"/>
      <c r="AI39" s="504"/>
      <c r="AJ39" s="504"/>
      <c r="AK39" s="504"/>
      <c r="AL39" s="504"/>
      <c r="AM39" s="505"/>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row>
    <row r="40" spans="1:80" x14ac:dyDescent="0.3">
      <c r="A40" s="67"/>
      <c r="B40" s="532"/>
      <c r="C40" s="532"/>
      <c r="D40" s="533"/>
      <c r="E40" s="525"/>
      <c r="F40" s="526"/>
      <c r="G40" s="526"/>
      <c r="H40" s="526"/>
      <c r="I40" s="527"/>
      <c r="J40" s="485" t="str">
        <f>IF(AND('Mapa final'!$K$16="Muy Baja",'Mapa final'!$O$16="Leve"),CONCATENATE("R",'Mapa final'!$A$16),"")</f>
        <v/>
      </c>
      <c r="K40" s="486"/>
      <c r="L40" s="486" t="str">
        <f>IF(AND('Mapa final'!$K$22="Muy Baja",'Mapa final'!$O$22="Leve"),CONCATENATE("R",'Mapa final'!$A$22),"")</f>
        <v/>
      </c>
      <c r="M40" s="486"/>
      <c r="N40" s="486" t="str">
        <f>IF(AND('Mapa final'!$K$28="Muy Baja",'Mapa final'!$O$28="Leve"),CONCATENATE("R",'Mapa final'!$A$28),"")</f>
        <v/>
      </c>
      <c r="O40" s="487"/>
      <c r="P40" s="485" t="str">
        <f>IF(AND('Mapa final'!$K$16="Muy Baja",'Mapa final'!$O$16="Menor"),CONCATENATE("R",'Mapa final'!$A$16),"")</f>
        <v/>
      </c>
      <c r="Q40" s="486"/>
      <c r="R40" s="486" t="str">
        <f>IF(AND('Mapa final'!$K$22="Muy Baja",'Mapa final'!$O$22="Menor"),CONCATENATE("R",'Mapa final'!$A$22),"")</f>
        <v/>
      </c>
      <c r="S40" s="486"/>
      <c r="T40" s="486" t="str">
        <f>IF(AND('Mapa final'!$K$28="Muy Baja",'Mapa final'!$O$28="Menor"),CONCATENATE("R",'Mapa final'!$A$28),"")</f>
        <v/>
      </c>
      <c r="U40" s="487"/>
      <c r="V40" s="494" t="str">
        <f>IF(AND('Mapa final'!$K$16="Muy Baja",'Mapa final'!$O$16="Moderado"),CONCATENATE("R",'Mapa final'!$A$16),"")</f>
        <v/>
      </c>
      <c r="W40" s="495"/>
      <c r="X40" s="495" t="str">
        <f>IF(AND('Mapa final'!$K$22="Muy Baja",'Mapa final'!$O$22="Moderado"),CONCATENATE("R",'Mapa final'!$A$22),"")</f>
        <v/>
      </c>
      <c r="Y40" s="495"/>
      <c r="Z40" s="495" t="str">
        <f>IF(AND('Mapa final'!$K$28="Muy Baja",'Mapa final'!$O$28="Moderado"),CONCATENATE("R",'Mapa final'!$A$28),"")</f>
        <v/>
      </c>
      <c r="AA40" s="496"/>
      <c r="AB40" s="512" t="str">
        <f>IF(AND('Mapa final'!$K$16="Muy Baja",'Mapa final'!$O$16="Mayor"),CONCATENATE("R",'Mapa final'!$A$16),"")</f>
        <v/>
      </c>
      <c r="AC40" s="513"/>
      <c r="AD40" s="513" t="str">
        <f>IF(AND('Mapa final'!$K$22="Muy Baja",'Mapa final'!$O$22="Mayor"),CONCATENATE("R",'Mapa final'!$A$22),"")</f>
        <v/>
      </c>
      <c r="AE40" s="513"/>
      <c r="AF40" s="513" t="str">
        <f>IF(AND('Mapa final'!$K$28="Muy Baja",'Mapa final'!$O$28="Mayor"),CONCATENATE("R",'Mapa final'!$A$28),"")</f>
        <v/>
      </c>
      <c r="AG40" s="514"/>
      <c r="AH40" s="503" t="str">
        <f>IF(AND('Mapa final'!$K$16="Muy Baja",'Mapa final'!$O$16="Catastrófico"),CONCATENATE("R",'Mapa final'!$A$16),"")</f>
        <v/>
      </c>
      <c r="AI40" s="504"/>
      <c r="AJ40" s="504" t="str">
        <f>IF(AND('Mapa final'!$K$22="Muy Baja",'Mapa final'!$O$22="Catastrófico"),CONCATENATE("R",'Mapa final'!$A$22),"")</f>
        <v/>
      </c>
      <c r="AK40" s="504"/>
      <c r="AL40" s="504" t="str">
        <f>IF(AND('Mapa final'!$K$28="Muy Baja",'Mapa final'!$O$28="Catastrófico"),CONCATENATE("R",'Mapa final'!$A$28),"")</f>
        <v/>
      </c>
      <c r="AM40" s="505"/>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c r="BZ40" s="67"/>
      <c r="CA40" s="67"/>
      <c r="CB40" s="67"/>
    </row>
    <row r="41" spans="1:80" x14ac:dyDescent="0.3">
      <c r="A41" s="67"/>
      <c r="B41" s="532"/>
      <c r="C41" s="532"/>
      <c r="D41" s="533"/>
      <c r="E41" s="525"/>
      <c r="F41" s="526"/>
      <c r="G41" s="526"/>
      <c r="H41" s="526"/>
      <c r="I41" s="527"/>
      <c r="J41" s="485"/>
      <c r="K41" s="486"/>
      <c r="L41" s="486"/>
      <c r="M41" s="486"/>
      <c r="N41" s="486"/>
      <c r="O41" s="487"/>
      <c r="P41" s="485"/>
      <c r="Q41" s="486"/>
      <c r="R41" s="486"/>
      <c r="S41" s="486"/>
      <c r="T41" s="486"/>
      <c r="U41" s="487"/>
      <c r="V41" s="494"/>
      <c r="W41" s="495"/>
      <c r="X41" s="495"/>
      <c r="Y41" s="495"/>
      <c r="Z41" s="495"/>
      <c r="AA41" s="496"/>
      <c r="AB41" s="512"/>
      <c r="AC41" s="513"/>
      <c r="AD41" s="513"/>
      <c r="AE41" s="513"/>
      <c r="AF41" s="513"/>
      <c r="AG41" s="514"/>
      <c r="AH41" s="503"/>
      <c r="AI41" s="504"/>
      <c r="AJ41" s="504"/>
      <c r="AK41" s="504"/>
      <c r="AL41" s="504"/>
      <c r="AM41" s="505"/>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c r="BY41" s="67"/>
      <c r="BZ41" s="67"/>
      <c r="CA41" s="67"/>
      <c r="CB41" s="67"/>
    </row>
    <row r="42" spans="1:80" x14ac:dyDescent="0.3">
      <c r="A42" s="67"/>
      <c r="B42" s="532"/>
      <c r="C42" s="532"/>
      <c r="D42" s="533"/>
      <c r="E42" s="525"/>
      <c r="F42" s="526"/>
      <c r="G42" s="526"/>
      <c r="H42" s="526"/>
      <c r="I42" s="527"/>
      <c r="J42" s="485" t="str">
        <f>IF(AND('Mapa final'!$K$34="Muy Baja",'Mapa final'!$O$34="Leve"),CONCATENATE("R",'Mapa final'!$A$34),"")</f>
        <v/>
      </c>
      <c r="K42" s="486"/>
      <c r="L42" s="486" t="str">
        <f>IF(AND('Mapa final'!$K$40="Muy Baja",'Mapa final'!$O$40="Leve"),CONCATENATE("R",'Mapa final'!$A$40),"")</f>
        <v/>
      </c>
      <c r="M42" s="486"/>
      <c r="N42" s="486" t="str">
        <f>IF(AND('Mapa final'!$K$46="Muy Baja",'Mapa final'!$O$46="Leve"),CONCATENATE("R",'Mapa final'!$A$46),"")</f>
        <v/>
      </c>
      <c r="O42" s="487"/>
      <c r="P42" s="485" t="str">
        <f>IF(AND('Mapa final'!$K$34="Muy Baja",'Mapa final'!$O$34="Menor"),CONCATENATE("R",'Mapa final'!$A$34),"")</f>
        <v/>
      </c>
      <c r="Q42" s="486"/>
      <c r="R42" s="486" t="str">
        <f>IF(AND('Mapa final'!$K$40="Muy Baja",'Mapa final'!$O$40="Menor"),CONCATENATE("R",'Mapa final'!$A$40),"")</f>
        <v/>
      </c>
      <c r="S42" s="486"/>
      <c r="T42" s="486" t="str">
        <f>IF(AND('Mapa final'!$K$46="Muy Baja",'Mapa final'!$O$46="Menor"),CONCATENATE("R",'Mapa final'!$A$46),"")</f>
        <v/>
      </c>
      <c r="U42" s="487"/>
      <c r="V42" s="494" t="str">
        <f>IF(AND('Mapa final'!$K$34="Muy Baja",'Mapa final'!$O$34="Moderado"),CONCATENATE("R",'Mapa final'!$A$34),"")</f>
        <v/>
      </c>
      <c r="W42" s="495"/>
      <c r="X42" s="495" t="str">
        <f>IF(AND('Mapa final'!$K$40="Muy Baja",'Mapa final'!$O$40="Moderado"),CONCATENATE("R",'Mapa final'!$A$40),"")</f>
        <v/>
      </c>
      <c r="Y42" s="495"/>
      <c r="Z42" s="495" t="str">
        <f>IF(AND('Mapa final'!$K$46="Muy Baja",'Mapa final'!$O$46="Moderado"),CONCATENATE("R",'Mapa final'!$A$46),"")</f>
        <v/>
      </c>
      <c r="AA42" s="496"/>
      <c r="AB42" s="512" t="str">
        <f>IF(AND('Mapa final'!$K$34="Muy Baja",'Mapa final'!$O$34="Mayor"),CONCATENATE("R",'Mapa final'!$A$34),"")</f>
        <v/>
      </c>
      <c r="AC42" s="513"/>
      <c r="AD42" s="513" t="str">
        <f>IF(AND('Mapa final'!$K$40="Muy Baja",'Mapa final'!$O$40="Mayor"),CONCATENATE("R",'Mapa final'!$A$40),"")</f>
        <v/>
      </c>
      <c r="AE42" s="513"/>
      <c r="AF42" s="513" t="str">
        <f>IF(AND('Mapa final'!$K$46="Muy Baja",'Mapa final'!$O$46="Mayor"),CONCATENATE("R",'Mapa final'!$A$46),"")</f>
        <v/>
      </c>
      <c r="AG42" s="514"/>
      <c r="AH42" s="503" t="str">
        <f>IF(AND('Mapa final'!$K$34="Muy Baja",'Mapa final'!$O$34="Catastrófico"),CONCATENATE("R",'Mapa final'!$A$34),"")</f>
        <v/>
      </c>
      <c r="AI42" s="504"/>
      <c r="AJ42" s="504" t="str">
        <f>IF(AND('Mapa final'!$K$40="Muy Baja",'Mapa final'!$O$40="Catastrófico"),CONCATENATE("R",'Mapa final'!$A$40),"")</f>
        <v/>
      </c>
      <c r="AK42" s="504"/>
      <c r="AL42" s="504" t="str">
        <f>IF(AND('Mapa final'!$K$46="Muy Baja",'Mapa final'!$O$46="Catastrófico"),CONCATENATE("R",'Mapa final'!$A$46),"")</f>
        <v/>
      </c>
      <c r="AM42" s="505"/>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c r="BY42" s="67"/>
      <c r="BZ42" s="67"/>
      <c r="CA42" s="67"/>
      <c r="CB42" s="67"/>
    </row>
    <row r="43" spans="1:80" x14ac:dyDescent="0.3">
      <c r="A43" s="67"/>
      <c r="B43" s="532"/>
      <c r="C43" s="532"/>
      <c r="D43" s="533"/>
      <c r="E43" s="525"/>
      <c r="F43" s="526"/>
      <c r="G43" s="526"/>
      <c r="H43" s="526"/>
      <c r="I43" s="527"/>
      <c r="J43" s="485"/>
      <c r="K43" s="486"/>
      <c r="L43" s="486"/>
      <c r="M43" s="486"/>
      <c r="N43" s="486"/>
      <c r="O43" s="487"/>
      <c r="P43" s="485"/>
      <c r="Q43" s="486"/>
      <c r="R43" s="486"/>
      <c r="S43" s="486"/>
      <c r="T43" s="486"/>
      <c r="U43" s="487"/>
      <c r="V43" s="494"/>
      <c r="W43" s="495"/>
      <c r="X43" s="495"/>
      <c r="Y43" s="495"/>
      <c r="Z43" s="495"/>
      <c r="AA43" s="496"/>
      <c r="AB43" s="512"/>
      <c r="AC43" s="513"/>
      <c r="AD43" s="513"/>
      <c r="AE43" s="513"/>
      <c r="AF43" s="513"/>
      <c r="AG43" s="514"/>
      <c r="AH43" s="503"/>
      <c r="AI43" s="504"/>
      <c r="AJ43" s="504"/>
      <c r="AK43" s="504"/>
      <c r="AL43" s="504"/>
      <c r="AM43" s="505"/>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c r="BY43" s="67"/>
      <c r="BZ43" s="67"/>
      <c r="CA43" s="67"/>
      <c r="CB43" s="67"/>
    </row>
    <row r="44" spans="1:80" x14ac:dyDescent="0.3">
      <c r="A44" s="67"/>
      <c r="B44" s="532"/>
      <c r="C44" s="532"/>
      <c r="D44" s="533"/>
      <c r="E44" s="525"/>
      <c r="F44" s="526"/>
      <c r="G44" s="526"/>
      <c r="H44" s="526"/>
      <c r="I44" s="527"/>
      <c r="J44" s="485" t="str">
        <f>IF(AND('Mapa final'!$K$52="Muy Baja",'Mapa final'!$O$52="Leve"),CONCATENATE("R",'Mapa final'!$A$52),"")</f>
        <v/>
      </c>
      <c r="K44" s="486"/>
      <c r="L44" s="486" t="str">
        <f>IF(AND('Mapa final'!$K$58="Muy Baja",'Mapa final'!$O$58="Leve"),CONCATENATE("R",'Mapa final'!$A$58),"")</f>
        <v/>
      </c>
      <c r="M44" s="486"/>
      <c r="N44" s="486" t="str">
        <f>IF(AND('Mapa final'!$K$64="Muy Baja",'Mapa final'!$O$64="Leve"),CONCATENATE("R",'Mapa final'!$A$64),"")</f>
        <v/>
      </c>
      <c r="O44" s="487"/>
      <c r="P44" s="485" t="str">
        <f>IF(AND('Mapa final'!$K$52="Muy Baja",'Mapa final'!$O$52="Menor"),CONCATENATE("R",'Mapa final'!$A$52),"")</f>
        <v/>
      </c>
      <c r="Q44" s="486"/>
      <c r="R44" s="486" t="str">
        <f>IF(AND('Mapa final'!$K$58="Muy Baja",'Mapa final'!$O$58="Menor"),CONCATENATE("R",'Mapa final'!$A$58),"")</f>
        <v/>
      </c>
      <c r="S44" s="486"/>
      <c r="T44" s="486" t="str">
        <f>IF(AND('Mapa final'!$K$64="Muy Baja",'Mapa final'!$O$64="Menor"),CONCATENATE("R",'Mapa final'!$A$64),"")</f>
        <v/>
      </c>
      <c r="U44" s="487"/>
      <c r="V44" s="494" t="str">
        <f>IF(AND('Mapa final'!$K$52="Muy Baja",'Mapa final'!$O$52="Moderado"),CONCATENATE("R",'Mapa final'!$A$52),"")</f>
        <v/>
      </c>
      <c r="W44" s="495"/>
      <c r="X44" s="495" t="str">
        <f>IF(AND('Mapa final'!$K$58="Muy Baja",'Mapa final'!$O$58="Moderado"),CONCATENATE("R",'Mapa final'!$A$58),"")</f>
        <v/>
      </c>
      <c r="Y44" s="495"/>
      <c r="Z44" s="495" t="str">
        <f>IF(AND('Mapa final'!$K$64="Muy Baja",'Mapa final'!$O$64="Moderado"),CONCATENATE("R",'Mapa final'!$A$64),"")</f>
        <v/>
      </c>
      <c r="AA44" s="496"/>
      <c r="AB44" s="512" t="str">
        <f>IF(AND('Mapa final'!$K$52="Muy Baja",'Mapa final'!$O$52="Mayor"),CONCATENATE("R",'Mapa final'!$A$52),"")</f>
        <v/>
      </c>
      <c r="AC44" s="513"/>
      <c r="AD44" s="513" t="str">
        <f>IF(AND('Mapa final'!$K$58="Muy Baja",'Mapa final'!$O$58="Mayor"),CONCATENATE("R",'Mapa final'!$A$58),"")</f>
        <v/>
      </c>
      <c r="AE44" s="513"/>
      <c r="AF44" s="513" t="str">
        <f>IF(AND('Mapa final'!$K$64="Muy Baja",'Mapa final'!$O$64="Mayor"),CONCATENATE("R",'Mapa final'!$A$64),"")</f>
        <v/>
      </c>
      <c r="AG44" s="514"/>
      <c r="AH44" s="503" t="str">
        <f>IF(AND('Mapa final'!$K$52="Muy Baja",'Mapa final'!$O$52="Catastrófico"),CONCATENATE("R",'Mapa final'!$A$52),"")</f>
        <v/>
      </c>
      <c r="AI44" s="504"/>
      <c r="AJ44" s="504" t="str">
        <f>IF(AND('Mapa final'!$K$58="Muy Baja",'Mapa final'!$O$58="Catastrófico"),CONCATENATE("R",'Mapa final'!$A$58),"")</f>
        <v/>
      </c>
      <c r="AK44" s="504"/>
      <c r="AL44" s="504" t="str">
        <f>IF(AND('Mapa final'!$K$64="Muy Baja",'Mapa final'!$O$64="Catastrófico"),CONCATENATE("R",'Mapa final'!$A$64),"")</f>
        <v/>
      </c>
      <c r="AM44" s="505"/>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c r="BY44" s="67"/>
      <c r="BZ44" s="67"/>
      <c r="CA44" s="67"/>
      <c r="CB44" s="67"/>
    </row>
    <row r="45" spans="1:80" ht="15" thickBot="1" x14ac:dyDescent="0.35">
      <c r="A45" s="67"/>
      <c r="B45" s="532"/>
      <c r="C45" s="532"/>
      <c r="D45" s="533"/>
      <c r="E45" s="528"/>
      <c r="F45" s="529"/>
      <c r="G45" s="529"/>
      <c r="H45" s="529"/>
      <c r="I45" s="530"/>
      <c r="J45" s="488"/>
      <c r="K45" s="489"/>
      <c r="L45" s="489"/>
      <c r="M45" s="489"/>
      <c r="N45" s="489"/>
      <c r="O45" s="490"/>
      <c r="P45" s="488"/>
      <c r="Q45" s="489"/>
      <c r="R45" s="489"/>
      <c r="S45" s="489"/>
      <c r="T45" s="489"/>
      <c r="U45" s="490"/>
      <c r="V45" s="497"/>
      <c r="W45" s="498"/>
      <c r="X45" s="498"/>
      <c r="Y45" s="498"/>
      <c r="Z45" s="498"/>
      <c r="AA45" s="499"/>
      <c r="AB45" s="515"/>
      <c r="AC45" s="516"/>
      <c r="AD45" s="516"/>
      <c r="AE45" s="516"/>
      <c r="AF45" s="516"/>
      <c r="AG45" s="517"/>
      <c r="AH45" s="506"/>
      <c r="AI45" s="507"/>
      <c r="AJ45" s="507"/>
      <c r="AK45" s="507"/>
      <c r="AL45" s="507"/>
      <c r="AM45" s="508"/>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7"/>
      <c r="BR45" s="67"/>
      <c r="BS45" s="67"/>
      <c r="BT45" s="67"/>
      <c r="BU45" s="67"/>
      <c r="BV45" s="67"/>
      <c r="BW45" s="67"/>
      <c r="BX45" s="67"/>
      <c r="BY45" s="67"/>
      <c r="BZ45" s="67"/>
      <c r="CA45" s="67"/>
      <c r="CB45" s="67"/>
    </row>
    <row r="46" spans="1:80" x14ac:dyDescent="0.3">
      <c r="A46" s="67"/>
      <c r="B46" s="67"/>
      <c r="C46" s="67"/>
      <c r="D46" s="67"/>
      <c r="E46" s="67"/>
      <c r="F46" s="67"/>
      <c r="G46" s="67"/>
      <c r="H46" s="67"/>
      <c r="I46" s="67"/>
      <c r="J46" s="522" t="s">
        <v>107</v>
      </c>
      <c r="K46" s="523"/>
      <c r="L46" s="523"/>
      <c r="M46" s="523"/>
      <c r="N46" s="523"/>
      <c r="O46" s="524"/>
      <c r="P46" s="522" t="s">
        <v>106</v>
      </c>
      <c r="Q46" s="523"/>
      <c r="R46" s="523"/>
      <c r="S46" s="523"/>
      <c r="T46" s="523"/>
      <c r="U46" s="524"/>
      <c r="V46" s="522" t="s">
        <v>105</v>
      </c>
      <c r="W46" s="523"/>
      <c r="X46" s="523"/>
      <c r="Y46" s="523"/>
      <c r="Z46" s="523"/>
      <c r="AA46" s="524"/>
      <c r="AB46" s="522" t="s">
        <v>104</v>
      </c>
      <c r="AC46" s="531"/>
      <c r="AD46" s="523"/>
      <c r="AE46" s="523"/>
      <c r="AF46" s="523"/>
      <c r="AG46" s="524"/>
      <c r="AH46" s="522" t="s">
        <v>103</v>
      </c>
      <c r="AI46" s="523"/>
      <c r="AJ46" s="523"/>
      <c r="AK46" s="523"/>
      <c r="AL46" s="523"/>
      <c r="AM46" s="524"/>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x14ac:dyDescent="0.3">
      <c r="A47" s="67"/>
      <c r="B47" s="67"/>
      <c r="C47" s="67"/>
      <c r="D47" s="67"/>
      <c r="E47" s="67"/>
      <c r="F47" s="67"/>
      <c r="G47" s="67"/>
      <c r="H47" s="67"/>
      <c r="I47" s="67"/>
      <c r="J47" s="525"/>
      <c r="K47" s="526"/>
      <c r="L47" s="526"/>
      <c r="M47" s="526"/>
      <c r="N47" s="526"/>
      <c r="O47" s="527"/>
      <c r="P47" s="525"/>
      <c r="Q47" s="526"/>
      <c r="R47" s="526"/>
      <c r="S47" s="526"/>
      <c r="T47" s="526"/>
      <c r="U47" s="527"/>
      <c r="V47" s="525"/>
      <c r="W47" s="526"/>
      <c r="X47" s="526"/>
      <c r="Y47" s="526"/>
      <c r="Z47" s="526"/>
      <c r="AA47" s="527"/>
      <c r="AB47" s="525"/>
      <c r="AC47" s="526"/>
      <c r="AD47" s="526"/>
      <c r="AE47" s="526"/>
      <c r="AF47" s="526"/>
      <c r="AG47" s="527"/>
      <c r="AH47" s="525"/>
      <c r="AI47" s="526"/>
      <c r="AJ47" s="526"/>
      <c r="AK47" s="526"/>
      <c r="AL47" s="526"/>
      <c r="AM47" s="527"/>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x14ac:dyDescent="0.3">
      <c r="A48" s="67"/>
      <c r="B48" s="67"/>
      <c r="C48" s="67"/>
      <c r="D48" s="67"/>
      <c r="E48" s="67"/>
      <c r="F48" s="67"/>
      <c r="G48" s="67"/>
      <c r="H48" s="67"/>
      <c r="I48" s="67"/>
      <c r="J48" s="525"/>
      <c r="K48" s="526"/>
      <c r="L48" s="526"/>
      <c r="M48" s="526"/>
      <c r="N48" s="526"/>
      <c r="O48" s="527"/>
      <c r="P48" s="525"/>
      <c r="Q48" s="526"/>
      <c r="R48" s="526"/>
      <c r="S48" s="526"/>
      <c r="T48" s="526"/>
      <c r="U48" s="527"/>
      <c r="V48" s="525"/>
      <c r="W48" s="526"/>
      <c r="X48" s="526"/>
      <c r="Y48" s="526"/>
      <c r="Z48" s="526"/>
      <c r="AA48" s="527"/>
      <c r="AB48" s="525"/>
      <c r="AC48" s="526"/>
      <c r="AD48" s="526"/>
      <c r="AE48" s="526"/>
      <c r="AF48" s="526"/>
      <c r="AG48" s="527"/>
      <c r="AH48" s="525"/>
      <c r="AI48" s="526"/>
      <c r="AJ48" s="526"/>
      <c r="AK48" s="526"/>
      <c r="AL48" s="526"/>
      <c r="AM48" s="527"/>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x14ac:dyDescent="0.3">
      <c r="A49" s="67"/>
      <c r="B49" s="67"/>
      <c r="C49" s="67"/>
      <c r="D49" s="67"/>
      <c r="E49" s="67"/>
      <c r="F49" s="67"/>
      <c r="G49" s="67"/>
      <c r="H49" s="67"/>
      <c r="I49" s="67"/>
      <c r="J49" s="525"/>
      <c r="K49" s="526"/>
      <c r="L49" s="526"/>
      <c r="M49" s="526"/>
      <c r="N49" s="526"/>
      <c r="O49" s="527"/>
      <c r="P49" s="525"/>
      <c r="Q49" s="526"/>
      <c r="R49" s="526"/>
      <c r="S49" s="526"/>
      <c r="T49" s="526"/>
      <c r="U49" s="527"/>
      <c r="V49" s="525"/>
      <c r="W49" s="526"/>
      <c r="X49" s="526"/>
      <c r="Y49" s="526"/>
      <c r="Z49" s="526"/>
      <c r="AA49" s="527"/>
      <c r="AB49" s="525"/>
      <c r="AC49" s="526"/>
      <c r="AD49" s="526"/>
      <c r="AE49" s="526"/>
      <c r="AF49" s="526"/>
      <c r="AG49" s="527"/>
      <c r="AH49" s="525"/>
      <c r="AI49" s="526"/>
      <c r="AJ49" s="526"/>
      <c r="AK49" s="526"/>
      <c r="AL49" s="526"/>
      <c r="AM49" s="527"/>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x14ac:dyDescent="0.3">
      <c r="A50" s="67"/>
      <c r="B50" s="67"/>
      <c r="C50" s="67"/>
      <c r="D50" s="67"/>
      <c r="E50" s="67"/>
      <c r="F50" s="67"/>
      <c r="G50" s="67"/>
      <c r="H50" s="67"/>
      <c r="I50" s="67"/>
      <c r="J50" s="525"/>
      <c r="K50" s="526"/>
      <c r="L50" s="526"/>
      <c r="M50" s="526"/>
      <c r="N50" s="526"/>
      <c r="O50" s="527"/>
      <c r="P50" s="525"/>
      <c r="Q50" s="526"/>
      <c r="R50" s="526"/>
      <c r="S50" s="526"/>
      <c r="T50" s="526"/>
      <c r="U50" s="527"/>
      <c r="V50" s="525"/>
      <c r="W50" s="526"/>
      <c r="X50" s="526"/>
      <c r="Y50" s="526"/>
      <c r="Z50" s="526"/>
      <c r="AA50" s="527"/>
      <c r="AB50" s="525"/>
      <c r="AC50" s="526"/>
      <c r="AD50" s="526"/>
      <c r="AE50" s="526"/>
      <c r="AF50" s="526"/>
      <c r="AG50" s="527"/>
      <c r="AH50" s="525"/>
      <c r="AI50" s="526"/>
      <c r="AJ50" s="526"/>
      <c r="AK50" s="526"/>
      <c r="AL50" s="526"/>
      <c r="AM50" s="527"/>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thickBot="1" x14ac:dyDescent="0.35">
      <c r="A51" s="67"/>
      <c r="B51" s="67"/>
      <c r="C51" s="67"/>
      <c r="D51" s="67"/>
      <c r="E51" s="67"/>
      <c r="F51" s="67"/>
      <c r="G51" s="67"/>
      <c r="H51" s="67"/>
      <c r="I51" s="67"/>
      <c r="J51" s="528"/>
      <c r="K51" s="529"/>
      <c r="L51" s="529"/>
      <c r="M51" s="529"/>
      <c r="N51" s="529"/>
      <c r="O51" s="530"/>
      <c r="P51" s="528"/>
      <c r="Q51" s="529"/>
      <c r="R51" s="529"/>
      <c r="S51" s="529"/>
      <c r="T51" s="529"/>
      <c r="U51" s="530"/>
      <c r="V51" s="528"/>
      <c r="W51" s="529"/>
      <c r="X51" s="529"/>
      <c r="Y51" s="529"/>
      <c r="Z51" s="529"/>
      <c r="AA51" s="530"/>
      <c r="AB51" s="528"/>
      <c r="AC51" s="529"/>
      <c r="AD51" s="529"/>
      <c r="AE51" s="529"/>
      <c r="AF51" s="529"/>
      <c r="AG51" s="530"/>
      <c r="AH51" s="528"/>
      <c r="AI51" s="529"/>
      <c r="AJ51" s="529"/>
      <c r="AK51" s="529"/>
      <c r="AL51" s="529"/>
      <c r="AM51" s="530"/>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x14ac:dyDescent="0.3">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3">
      <c r="A53" s="67"/>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3">
      <c r="A54" s="67"/>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x14ac:dyDescent="0.3">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3">
      <c r="A56" s="67"/>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3">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3">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3">
      <c r="A59" s="67"/>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3">
      <c r="A60" s="67"/>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x14ac:dyDescent="0.3">
      <c r="A61" s="67"/>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3">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67"/>
      <c r="BT62" s="67"/>
      <c r="BU62" s="67"/>
      <c r="BV62" s="67"/>
      <c r="BW62" s="67"/>
      <c r="BX62" s="67"/>
      <c r="BY62" s="67"/>
      <c r="BZ62" s="67"/>
      <c r="CA62" s="67"/>
      <c r="CB62" s="67"/>
    </row>
    <row r="63" spans="1:80" x14ac:dyDescent="0.3">
      <c r="A63" s="67"/>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S63" s="67"/>
      <c r="BT63" s="67"/>
      <c r="BU63" s="67"/>
      <c r="BV63" s="67"/>
      <c r="BW63" s="67"/>
      <c r="BX63" s="67"/>
      <c r="BY63" s="67"/>
      <c r="BZ63" s="67"/>
      <c r="CA63" s="67"/>
      <c r="CB63" s="67"/>
    </row>
    <row r="64" spans="1:80" x14ac:dyDescent="0.3">
      <c r="A64" s="67"/>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c r="BM64" s="67"/>
      <c r="BN64" s="67"/>
      <c r="BO64" s="67"/>
      <c r="BP64" s="67"/>
      <c r="BQ64" s="67"/>
      <c r="BR64" s="67"/>
      <c r="BS64" s="67"/>
      <c r="BT64" s="67"/>
      <c r="BU64" s="67"/>
      <c r="BV64" s="67"/>
      <c r="BW64" s="67"/>
      <c r="BX64" s="67"/>
      <c r="BY64" s="67"/>
      <c r="BZ64" s="67"/>
      <c r="CA64" s="67"/>
      <c r="CB64" s="67"/>
    </row>
    <row r="65" spans="1:80" x14ac:dyDescent="0.3">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7"/>
      <c r="BS65" s="67"/>
      <c r="BT65" s="67"/>
      <c r="BU65" s="67"/>
      <c r="BV65" s="67"/>
      <c r="BW65" s="67"/>
      <c r="BX65" s="67"/>
      <c r="BY65" s="67"/>
      <c r="BZ65" s="67"/>
      <c r="CA65" s="67"/>
      <c r="CB65" s="67"/>
    </row>
    <row r="66" spans="1:80"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7"/>
      <c r="BS66" s="67"/>
      <c r="BT66" s="67"/>
      <c r="BU66" s="67"/>
      <c r="BV66" s="67"/>
      <c r="BW66" s="67"/>
      <c r="BX66" s="67"/>
      <c r="BY66" s="67"/>
      <c r="BZ66" s="67"/>
      <c r="CA66" s="67"/>
      <c r="CB66" s="67"/>
    </row>
    <row r="67" spans="1:80" x14ac:dyDescent="0.3">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67"/>
      <c r="BT67" s="67"/>
      <c r="BU67" s="67"/>
      <c r="BV67" s="67"/>
      <c r="BW67" s="67"/>
      <c r="BX67" s="67"/>
      <c r="BY67" s="67"/>
      <c r="BZ67" s="67"/>
      <c r="CA67" s="67"/>
      <c r="CB67" s="67"/>
    </row>
    <row r="68" spans="1:80" x14ac:dyDescent="0.3">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67"/>
      <c r="BR68" s="67"/>
      <c r="BS68" s="67"/>
      <c r="BT68" s="67"/>
      <c r="BU68" s="67"/>
      <c r="BV68" s="67"/>
      <c r="BW68" s="67"/>
      <c r="BX68" s="67"/>
      <c r="BY68" s="67"/>
      <c r="BZ68" s="67"/>
      <c r="CA68" s="67"/>
      <c r="CB68" s="67"/>
    </row>
    <row r="69" spans="1:80" x14ac:dyDescent="0.3">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c r="BI69" s="67"/>
      <c r="BJ69" s="67"/>
      <c r="BK69" s="67"/>
      <c r="BL69" s="67"/>
      <c r="BM69" s="67"/>
      <c r="BN69" s="67"/>
      <c r="BO69" s="67"/>
      <c r="BP69" s="67"/>
      <c r="BQ69" s="67"/>
      <c r="BR69" s="67"/>
      <c r="BS69" s="67"/>
      <c r="BT69" s="67"/>
      <c r="BU69" s="67"/>
      <c r="BV69" s="67"/>
      <c r="BW69" s="67"/>
      <c r="BX69" s="67"/>
      <c r="BY69" s="67"/>
      <c r="BZ69" s="67"/>
      <c r="CA69" s="67"/>
      <c r="CB69" s="67"/>
    </row>
    <row r="70" spans="1:80" x14ac:dyDescent="0.3">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c r="BI70" s="67"/>
      <c r="BJ70" s="67"/>
      <c r="BK70" s="67"/>
      <c r="BL70" s="67"/>
      <c r="BM70" s="67"/>
      <c r="BN70" s="67"/>
      <c r="BO70" s="67"/>
      <c r="BP70" s="67"/>
      <c r="BQ70" s="67"/>
      <c r="BR70" s="67"/>
      <c r="BS70" s="67"/>
      <c r="BT70" s="67"/>
      <c r="BU70" s="67"/>
      <c r="BV70" s="67"/>
      <c r="BW70" s="67"/>
      <c r="BX70" s="67"/>
      <c r="BY70" s="67"/>
      <c r="BZ70" s="67"/>
      <c r="CA70" s="67"/>
      <c r="CB70" s="67"/>
    </row>
    <row r="71" spans="1:80" x14ac:dyDescent="0.3">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c r="BI71" s="67"/>
      <c r="BJ71" s="67"/>
      <c r="BK71" s="67"/>
      <c r="BL71" s="67"/>
      <c r="BM71" s="67"/>
      <c r="BN71" s="67"/>
      <c r="BO71" s="67"/>
      <c r="BP71" s="67"/>
      <c r="BQ71" s="67"/>
      <c r="BR71" s="67"/>
      <c r="BS71" s="67"/>
      <c r="BT71" s="67"/>
      <c r="BU71" s="67"/>
      <c r="BV71" s="67"/>
      <c r="BW71" s="67"/>
      <c r="BX71" s="67"/>
      <c r="BY71" s="67"/>
      <c r="BZ71" s="67"/>
      <c r="CA71" s="67"/>
      <c r="CB71" s="67"/>
    </row>
    <row r="72" spans="1:80" x14ac:dyDescent="0.3">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c r="BI72" s="67"/>
      <c r="BJ72" s="67"/>
      <c r="BK72" s="67"/>
      <c r="BL72" s="67"/>
      <c r="BM72" s="67"/>
      <c r="BN72" s="67"/>
      <c r="BO72" s="67"/>
      <c r="BP72" s="67"/>
      <c r="BQ72" s="67"/>
      <c r="BR72" s="67"/>
      <c r="BS72" s="67"/>
      <c r="BT72" s="67"/>
      <c r="BU72" s="67"/>
      <c r="BV72" s="67"/>
      <c r="BW72" s="67"/>
      <c r="BX72" s="67"/>
      <c r="BY72" s="67"/>
      <c r="BZ72" s="67"/>
      <c r="CA72" s="67"/>
      <c r="CB72" s="67"/>
    </row>
    <row r="73" spans="1:80" x14ac:dyDescent="0.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c r="BI73" s="67"/>
      <c r="BJ73" s="67"/>
      <c r="BK73" s="67"/>
      <c r="BL73" s="67"/>
      <c r="BM73" s="67"/>
      <c r="BN73" s="67"/>
      <c r="BO73" s="67"/>
      <c r="BP73" s="67"/>
      <c r="BQ73" s="67"/>
      <c r="BR73" s="67"/>
      <c r="BS73" s="67"/>
      <c r="BT73" s="67"/>
      <c r="BU73" s="67"/>
      <c r="BV73" s="67"/>
      <c r="BW73" s="67"/>
      <c r="BX73" s="67"/>
      <c r="BY73" s="67"/>
      <c r="BZ73" s="67"/>
      <c r="CA73" s="67"/>
      <c r="CB73" s="67"/>
    </row>
    <row r="74" spans="1:80" x14ac:dyDescent="0.3">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c r="BI74" s="67"/>
      <c r="BJ74" s="67"/>
      <c r="BK74" s="67"/>
      <c r="BL74" s="67"/>
      <c r="BM74" s="67"/>
      <c r="BN74" s="67"/>
      <c r="BO74" s="67"/>
      <c r="BP74" s="67"/>
      <c r="BQ74" s="67"/>
      <c r="BR74" s="67"/>
      <c r="BS74" s="67"/>
      <c r="BT74" s="67"/>
      <c r="BU74" s="67"/>
      <c r="BV74" s="67"/>
      <c r="BW74" s="67"/>
      <c r="BX74" s="67"/>
      <c r="BY74" s="67"/>
      <c r="BZ74" s="67"/>
      <c r="CA74" s="67"/>
      <c r="CB74" s="67"/>
    </row>
    <row r="75" spans="1:80" x14ac:dyDescent="0.3">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c r="BI75" s="67"/>
      <c r="BJ75" s="67"/>
      <c r="BK75" s="67"/>
      <c r="BL75" s="67"/>
      <c r="BM75" s="67"/>
      <c r="BN75" s="67"/>
      <c r="BO75" s="67"/>
      <c r="BP75" s="67"/>
      <c r="BQ75" s="67"/>
      <c r="BR75" s="67"/>
      <c r="BS75" s="67"/>
      <c r="BT75" s="67"/>
      <c r="BU75" s="67"/>
      <c r="BV75" s="67"/>
      <c r="BW75" s="67"/>
      <c r="BX75" s="67"/>
      <c r="BY75" s="67"/>
      <c r="BZ75" s="67"/>
      <c r="CA75" s="67"/>
      <c r="CB75" s="67"/>
    </row>
    <row r="76" spans="1:80" x14ac:dyDescent="0.3">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c r="BI76" s="67"/>
      <c r="BJ76" s="67"/>
      <c r="BK76" s="67"/>
      <c r="BL76" s="67"/>
      <c r="BM76" s="67"/>
      <c r="BN76" s="67"/>
      <c r="BO76" s="67"/>
      <c r="BP76" s="67"/>
      <c r="BQ76" s="67"/>
      <c r="BR76" s="67"/>
      <c r="BS76" s="67"/>
      <c r="BT76" s="67"/>
      <c r="BU76" s="67"/>
      <c r="BV76" s="67"/>
      <c r="BW76" s="67"/>
      <c r="BX76" s="67"/>
      <c r="BY76" s="67"/>
      <c r="BZ76" s="67"/>
      <c r="CA76" s="67"/>
      <c r="CB76" s="67"/>
    </row>
    <row r="77" spans="1:80" x14ac:dyDescent="0.3">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7"/>
      <c r="BR77" s="67"/>
      <c r="BS77" s="67"/>
      <c r="BT77" s="67"/>
      <c r="BU77" s="67"/>
      <c r="BV77" s="67"/>
      <c r="BW77" s="67"/>
      <c r="BX77" s="67"/>
      <c r="BY77" s="67"/>
      <c r="BZ77" s="67"/>
      <c r="CA77" s="67"/>
      <c r="CB77" s="67"/>
    </row>
    <row r="78" spans="1:80" x14ac:dyDescent="0.3">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c r="BI78" s="67"/>
      <c r="BJ78" s="67"/>
      <c r="BK78" s="67"/>
      <c r="BL78" s="67"/>
      <c r="BM78" s="67"/>
      <c r="BN78" s="67"/>
      <c r="BO78" s="67"/>
      <c r="BP78" s="67"/>
      <c r="BQ78" s="67"/>
      <c r="BR78" s="67"/>
      <c r="BS78" s="67"/>
      <c r="BT78" s="67"/>
      <c r="BU78" s="67"/>
      <c r="BV78" s="67"/>
      <c r="BW78" s="67"/>
      <c r="BX78" s="67"/>
      <c r="BY78" s="67"/>
      <c r="BZ78" s="67"/>
      <c r="CA78" s="67"/>
      <c r="CB78" s="67"/>
    </row>
    <row r="79" spans="1:80" x14ac:dyDescent="0.3">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c r="BI79" s="67"/>
      <c r="BJ79" s="67"/>
      <c r="BK79" s="67"/>
    </row>
    <row r="80" spans="1:80" x14ac:dyDescent="0.3">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c r="BI80" s="67"/>
      <c r="BJ80" s="67"/>
      <c r="BK80" s="67"/>
    </row>
    <row r="81" spans="1:63" x14ac:dyDescent="0.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c r="BI81" s="67"/>
      <c r="BJ81" s="67"/>
      <c r="BK81" s="67"/>
    </row>
    <row r="82" spans="1:63" x14ac:dyDescent="0.3">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row>
    <row r="83" spans="1:63" x14ac:dyDescent="0.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c r="BI83" s="67"/>
      <c r="BJ83" s="67"/>
      <c r="BK83" s="67"/>
    </row>
    <row r="84" spans="1:63" x14ac:dyDescent="0.3">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c r="BI84" s="67"/>
      <c r="BJ84" s="67"/>
      <c r="BK84" s="67"/>
    </row>
    <row r="85" spans="1:63" x14ac:dyDescent="0.3">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c r="BI85" s="67"/>
      <c r="BJ85" s="67"/>
      <c r="BK85" s="67"/>
    </row>
    <row r="86" spans="1:63" x14ac:dyDescent="0.3">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c r="BI86" s="67"/>
      <c r="BJ86" s="67"/>
      <c r="BK86" s="67"/>
    </row>
    <row r="87" spans="1:63" x14ac:dyDescent="0.3">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c r="BI87" s="67"/>
      <c r="BJ87" s="67"/>
      <c r="BK87" s="67"/>
    </row>
    <row r="88" spans="1:63" x14ac:dyDescent="0.3">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c r="BI88" s="67"/>
      <c r="BJ88" s="67"/>
      <c r="BK88" s="67"/>
    </row>
    <row r="89" spans="1:63" x14ac:dyDescent="0.3">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c r="BI89" s="67"/>
      <c r="BJ89" s="67"/>
      <c r="BK89" s="67"/>
    </row>
    <row r="90" spans="1:63" x14ac:dyDescent="0.3">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row>
    <row r="91" spans="1:63" x14ac:dyDescent="0.3">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c r="BI91" s="67"/>
      <c r="BJ91" s="67"/>
      <c r="BK91" s="67"/>
    </row>
    <row r="92" spans="1:63" x14ac:dyDescent="0.3">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c r="BI92" s="67"/>
      <c r="BJ92" s="67"/>
      <c r="BK92" s="67"/>
    </row>
    <row r="93" spans="1:63" x14ac:dyDescent="0.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c r="BI93" s="67"/>
      <c r="BJ93" s="67"/>
      <c r="BK93" s="67"/>
    </row>
    <row r="94" spans="1:63" x14ac:dyDescent="0.3">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c r="BI94" s="67"/>
      <c r="BJ94" s="67"/>
      <c r="BK94" s="67"/>
    </row>
    <row r="95" spans="1:63" x14ac:dyDescent="0.3">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c r="BI95" s="67"/>
      <c r="BJ95" s="67"/>
      <c r="BK95" s="67"/>
    </row>
    <row r="96" spans="1:63" x14ac:dyDescent="0.3">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c r="BI96" s="67"/>
      <c r="BJ96" s="67"/>
      <c r="BK96" s="67"/>
    </row>
    <row r="97" spans="1:63" x14ac:dyDescent="0.3">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c r="BI97" s="67"/>
      <c r="BJ97" s="67"/>
      <c r="BK97" s="67"/>
    </row>
    <row r="98" spans="1:63" x14ac:dyDescent="0.3">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c r="BI98" s="67"/>
      <c r="BJ98" s="67"/>
      <c r="BK98" s="67"/>
    </row>
    <row r="99" spans="1:63" x14ac:dyDescent="0.3">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c r="BI99" s="67"/>
      <c r="BJ99" s="67"/>
      <c r="BK99" s="67"/>
    </row>
    <row r="100" spans="1:63" x14ac:dyDescent="0.3">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c r="BI100" s="67"/>
      <c r="BJ100" s="67"/>
      <c r="BK100" s="67"/>
    </row>
    <row r="101" spans="1:63" x14ac:dyDescent="0.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c r="BI101" s="67"/>
      <c r="BJ101" s="67"/>
      <c r="BK101" s="67"/>
    </row>
    <row r="102" spans="1:63" x14ac:dyDescent="0.3">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c r="BI102" s="67"/>
      <c r="BJ102" s="67"/>
      <c r="BK102" s="67"/>
    </row>
    <row r="103" spans="1:63" x14ac:dyDescent="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c r="BI103" s="67"/>
      <c r="BJ103" s="67"/>
      <c r="BK103" s="67"/>
    </row>
    <row r="104" spans="1:63" x14ac:dyDescent="0.3">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c r="BI104" s="67"/>
      <c r="BJ104" s="67"/>
      <c r="BK104" s="67"/>
    </row>
    <row r="105" spans="1:63" x14ac:dyDescent="0.3">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c r="BI105" s="67"/>
      <c r="BJ105" s="67"/>
      <c r="BK105" s="67"/>
    </row>
    <row r="106" spans="1:63" x14ac:dyDescent="0.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c r="BI106" s="67"/>
      <c r="BJ106" s="67"/>
      <c r="BK106" s="67"/>
    </row>
    <row r="107" spans="1:63" x14ac:dyDescent="0.3">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c r="BI107" s="67"/>
      <c r="BJ107" s="67"/>
      <c r="BK107" s="67"/>
    </row>
    <row r="108" spans="1:63" x14ac:dyDescent="0.3">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c r="BI108" s="67"/>
      <c r="BJ108" s="67"/>
      <c r="BK108" s="67"/>
    </row>
    <row r="109" spans="1:63" x14ac:dyDescent="0.3">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c r="BI109" s="67"/>
      <c r="BJ109" s="67"/>
      <c r="BK109" s="67"/>
    </row>
    <row r="110" spans="1:63" x14ac:dyDescent="0.3">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c r="BI110" s="67"/>
      <c r="BJ110" s="67"/>
      <c r="BK110" s="67"/>
    </row>
    <row r="111" spans="1:63" x14ac:dyDescent="0.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c r="BI111" s="67"/>
      <c r="BJ111" s="67"/>
      <c r="BK111" s="67"/>
    </row>
    <row r="112" spans="1:63" x14ac:dyDescent="0.3">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c r="BI112" s="67"/>
      <c r="BJ112" s="67"/>
      <c r="BK112" s="67"/>
    </row>
    <row r="113" spans="1:63" x14ac:dyDescent="0.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c r="BI113" s="67"/>
      <c r="BJ113" s="67"/>
      <c r="BK113" s="67"/>
    </row>
    <row r="114" spans="1:63" x14ac:dyDescent="0.3">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c r="BI114" s="67"/>
      <c r="BJ114" s="67"/>
      <c r="BK114" s="67"/>
    </row>
    <row r="115" spans="1:63" x14ac:dyDescent="0.3">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c r="BI115" s="67"/>
      <c r="BJ115" s="67"/>
      <c r="BK115" s="67"/>
    </row>
    <row r="116" spans="1:63" x14ac:dyDescent="0.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c r="BI116" s="67"/>
      <c r="BJ116" s="67"/>
      <c r="BK116" s="67"/>
    </row>
    <row r="117" spans="1:63" x14ac:dyDescent="0.3">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c r="BI117" s="67"/>
      <c r="BJ117" s="67"/>
      <c r="BK117" s="67"/>
    </row>
    <row r="118" spans="1:63" x14ac:dyDescent="0.3">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c r="BI118" s="67"/>
      <c r="BJ118" s="67"/>
      <c r="BK118" s="67"/>
    </row>
    <row r="119" spans="1:63" x14ac:dyDescent="0.3">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c r="BI119" s="67"/>
      <c r="BJ119" s="67"/>
      <c r="BK119" s="67"/>
    </row>
    <row r="120" spans="1:63" x14ac:dyDescent="0.3">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c r="BI120" s="67"/>
      <c r="BJ120" s="67"/>
      <c r="BK120" s="67"/>
    </row>
    <row r="121" spans="1:63" x14ac:dyDescent="0.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c r="BI121" s="67"/>
      <c r="BJ121" s="67"/>
      <c r="BK121" s="67"/>
    </row>
    <row r="122" spans="1:63" x14ac:dyDescent="0.3">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c r="BI122" s="67"/>
      <c r="BJ122" s="67"/>
      <c r="BK122" s="67"/>
    </row>
    <row r="123" spans="1:63" x14ac:dyDescent="0.3">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c r="BI123" s="67"/>
      <c r="BJ123" s="67"/>
      <c r="BK123" s="67"/>
    </row>
    <row r="124" spans="1:63" x14ac:dyDescent="0.3">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c r="BI124" s="67"/>
      <c r="BJ124" s="67"/>
      <c r="BK124" s="67"/>
    </row>
    <row r="125" spans="1:63" x14ac:dyDescent="0.3">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c r="BI125" s="67"/>
      <c r="BJ125" s="67"/>
      <c r="BK125" s="67"/>
    </row>
    <row r="126" spans="1:63" x14ac:dyDescent="0.3">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c r="BI126" s="67"/>
      <c r="BJ126" s="67"/>
      <c r="BK126" s="67"/>
    </row>
    <row r="127" spans="1:63" x14ac:dyDescent="0.3">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c r="BI127" s="67"/>
      <c r="BJ127" s="67"/>
      <c r="BK127" s="67"/>
    </row>
    <row r="128" spans="1:63" x14ac:dyDescent="0.3">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c r="BI128" s="67"/>
      <c r="BJ128" s="67"/>
      <c r="BK128" s="67"/>
    </row>
    <row r="129" spans="2:63" x14ac:dyDescent="0.3">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c r="BI129" s="67"/>
      <c r="BJ129" s="67"/>
      <c r="BK129" s="67"/>
    </row>
    <row r="130" spans="2:63" x14ac:dyDescent="0.3">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c r="BI130" s="67"/>
      <c r="BJ130" s="67"/>
      <c r="BK130" s="67"/>
    </row>
    <row r="131" spans="2:63" x14ac:dyDescent="0.3">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c r="BI131" s="67"/>
      <c r="BJ131" s="67"/>
      <c r="BK131" s="67"/>
    </row>
    <row r="132" spans="2:63" x14ac:dyDescent="0.3">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c r="BI132" s="67"/>
      <c r="BJ132" s="67"/>
      <c r="BK132" s="67"/>
    </row>
    <row r="133" spans="2:63" x14ac:dyDescent="0.3">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c r="BI133" s="67"/>
      <c r="BJ133" s="67"/>
      <c r="BK133" s="67"/>
    </row>
    <row r="134" spans="2:63" x14ac:dyDescent="0.3">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c r="BI134" s="67"/>
      <c r="BJ134" s="67"/>
      <c r="BK134" s="67"/>
    </row>
    <row r="135" spans="2:63" x14ac:dyDescent="0.3">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c r="BI135" s="67"/>
      <c r="BJ135" s="67"/>
      <c r="BK135" s="67"/>
    </row>
    <row r="136" spans="2:63" x14ac:dyDescent="0.3">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c r="BI136" s="67"/>
      <c r="BJ136" s="67"/>
      <c r="BK136" s="67"/>
    </row>
    <row r="137" spans="2:63" x14ac:dyDescent="0.3">
      <c r="B137" s="67"/>
      <c r="C137" s="67"/>
      <c r="D137" s="67"/>
      <c r="E137" s="67"/>
      <c r="F137" s="67"/>
      <c r="G137" s="67"/>
      <c r="H137" s="67"/>
      <c r="I137" s="67"/>
    </row>
    <row r="138" spans="2:63" x14ac:dyDescent="0.3">
      <c r="B138" s="67"/>
      <c r="C138" s="67"/>
      <c r="D138" s="67"/>
      <c r="E138" s="67"/>
      <c r="F138" s="67"/>
      <c r="G138" s="67"/>
      <c r="H138" s="67"/>
      <c r="I138" s="67"/>
    </row>
    <row r="139" spans="2:63" x14ac:dyDescent="0.3">
      <c r="B139" s="67"/>
      <c r="C139" s="67"/>
      <c r="D139" s="67"/>
      <c r="E139" s="67"/>
      <c r="F139" s="67"/>
      <c r="G139" s="67"/>
      <c r="H139" s="67"/>
      <c r="I139" s="67"/>
    </row>
    <row r="140" spans="2:63" x14ac:dyDescent="0.3">
      <c r="B140" s="67"/>
      <c r="C140" s="67"/>
      <c r="D140" s="67"/>
      <c r="E140" s="67"/>
      <c r="F140" s="67"/>
      <c r="G140" s="67"/>
      <c r="H140" s="67"/>
      <c r="I140" s="67"/>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M248"/>
  <sheetViews>
    <sheetView zoomScale="71" zoomScaleNormal="71" workbookViewId="0">
      <selection activeCell="M26" sqref="M26"/>
    </sheetView>
  </sheetViews>
  <sheetFormatPr baseColWidth="10" defaultRowHeight="14.4" x14ac:dyDescent="0.3"/>
  <cols>
    <col min="2" max="18" width="5.6640625" customWidth="1"/>
    <col min="19" max="19" width="8.44140625" customWidth="1"/>
    <col min="20" max="23" width="5.6640625" customWidth="1"/>
    <col min="24" max="24" width="8.5546875" customWidth="1"/>
    <col min="25" max="26" width="5.6640625" customWidth="1"/>
    <col min="27" max="27" width="10.6640625" customWidth="1"/>
    <col min="28" max="28" width="5.6640625" customWidth="1"/>
    <col min="29" max="29" width="7.44140625" customWidth="1"/>
    <col min="30" max="33" width="5.6640625" customWidth="1"/>
    <col min="34" max="34" width="8.5546875" customWidth="1"/>
    <col min="35" max="39" width="5.6640625" customWidth="1"/>
    <col min="41" max="46" width="5.6640625" customWidth="1"/>
  </cols>
  <sheetData>
    <row r="1" spans="1:91"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row>
    <row r="2" spans="1:91" ht="18" customHeight="1" x14ac:dyDescent="0.3">
      <c r="A2" s="67"/>
      <c r="B2" s="599" t="s">
        <v>149</v>
      </c>
      <c r="C2" s="600"/>
      <c r="D2" s="600"/>
      <c r="E2" s="600"/>
      <c r="F2" s="600"/>
      <c r="G2" s="600"/>
      <c r="H2" s="600"/>
      <c r="I2" s="600"/>
      <c r="J2" s="521" t="s">
        <v>2</v>
      </c>
      <c r="K2" s="521"/>
      <c r="L2" s="521"/>
      <c r="M2" s="521"/>
      <c r="N2" s="521"/>
      <c r="O2" s="521"/>
      <c r="P2" s="521"/>
      <c r="Q2" s="521"/>
      <c r="R2" s="521"/>
      <c r="S2" s="521"/>
      <c r="T2" s="521"/>
      <c r="U2" s="521"/>
      <c r="V2" s="521"/>
      <c r="W2" s="521"/>
      <c r="X2" s="521"/>
      <c r="Y2" s="521"/>
      <c r="Z2" s="521"/>
      <c r="AA2" s="521"/>
      <c r="AB2" s="521"/>
      <c r="AC2" s="521"/>
      <c r="AD2" s="521"/>
      <c r="AE2" s="521"/>
      <c r="AF2" s="521"/>
      <c r="AG2" s="521"/>
      <c r="AH2" s="521"/>
      <c r="AI2" s="521"/>
      <c r="AJ2" s="521"/>
      <c r="AK2" s="521"/>
      <c r="AL2" s="521"/>
      <c r="AM2" s="521"/>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row>
    <row r="3" spans="1:91" ht="18.75" customHeight="1" x14ac:dyDescent="0.3">
      <c r="A3" s="67"/>
      <c r="B3" s="600"/>
      <c r="C3" s="600"/>
      <c r="D3" s="600"/>
      <c r="E3" s="600"/>
      <c r="F3" s="600"/>
      <c r="G3" s="600"/>
      <c r="H3" s="600"/>
      <c r="I3" s="600"/>
      <c r="J3" s="521"/>
      <c r="K3" s="521"/>
      <c r="L3" s="521"/>
      <c r="M3" s="521"/>
      <c r="N3" s="521"/>
      <c r="O3" s="521"/>
      <c r="P3" s="521"/>
      <c r="Q3" s="521"/>
      <c r="R3" s="521"/>
      <c r="S3" s="521"/>
      <c r="T3" s="521"/>
      <c r="U3" s="521"/>
      <c r="V3" s="521"/>
      <c r="W3" s="521"/>
      <c r="X3" s="521"/>
      <c r="Y3" s="521"/>
      <c r="Z3" s="521"/>
      <c r="AA3" s="521"/>
      <c r="AB3" s="521"/>
      <c r="AC3" s="521"/>
      <c r="AD3" s="521"/>
      <c r="AE3" s="521"/>
      <c r="AF3" s="521"/>
      <c r="AG3" s="521"/>
      <c r="AH3" s="521"/>
      <c r="AI3" s="521"/>
      <c r="AJ3" s="521"/>
      <c r="AK3" s="521"/>
      <c r="AL3" s="521"/>
      <c r="AM3" s="521"/>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row>
    <row r="4" spans="1:91" ht="15" customHeight="1" x14ac:dyDescent="0.3">
      <c r="A4" s="67"/>
      <c r="B4" s="600"/>
      <c r="C4" s="600"/>
      <c r="D4" s="600"/>
      <c r="E4" s="600"/>
      <c r="F4" s="600"/>
      <c r="G4" s="600"/>
      <c r="H4" s="600"/>
      <c r="I4" s="600"/>
      <c r="J4" s="521"/>
      <c r="K4" s="521"/>
      <c r="L4" s="521"/>
      <c r="M4" s="521"/>
      <c r="N4" s="521"/>
      <c r="O4" s="521"/>
      <c r="P4" s="521"/>
      <c r="Q4" s="521"/>
      <c r="R4" s="521"/>
      <c r="S4" s="521"/>
      <c r="T4" s="521"/>
      <c r="U4" s="521"/>
      <c r="V4" s="521"/>
      <c r="W4" s="521"/>
      <c r="X4" s="521"/>
      <c r="Y4" s="521"/>
      <c r="Z4" s="521"/>
      <c r="AA4" s="521"/>
      <c r="AB4" s="521"/>
      <c r="AC4" s="521"/>
      <c r="AD4" s="521"/>
      <c r="AE4" s="521"/>
      <c r="AF4" s="521"/>
      <c r="AG4" s="521"/>
      <c r="AH4" s="521"/>
      <c r="AI4" s="521"/>
      <c r="AJ4" s="521"/>
      <c r="AK4" s="521"/>
      <c r="AL4" s="521"/>
      <c r="AM4" s="521"/>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row>
    <row r="5" spans="1:91" ht="15" thickBot="1" x14ac:dyDescent="0.3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row>
    <row r="6" spans="1:91" ht="15" customHeight="1" x14ac:dyDescent="0.3">
      <c r="A6" s="67"/>
      <c r="B6" s="532" t="s">
        <v>4</v>
      </c>
      <c r="C6" s="532"/>
      <c r="D6" s="533"/>
      <c r="E6" s="570" t="s">
        <v>111</v>
      </c>
      <c r="F6" s="571"/>
      <c r="G6" s="571"/>
      <c r="H6" s="571"/>
      <c r="I6" s="572"/>
      <c r="J6" s="30" t="str">
        <f>IF(AND('Mapa final'!$AB$10="Muy Alta",'Mapa final'!$AD$10="Leve"),CONCATENATE("R1C",'Mapa final'!$R$10),"")</f>
        <v/>
      </c>
      <c r="K6" s="31" t="str">
        <f>IF(AND('Mapa final'!$AB$11="Muy Alta",'Mapa final'!$AD$11="Leve"),CONCATENATE("R1C",'Mapa final'!$R$11),"")</f>
        <v/>
      </c>
      <c r="L6" s="31" t="e">
        <f>IF(AND('Mapa final'!#REF!="Muy Alta",'Mapa final'!#REF!="Leve"),CONCATENATE("R1C",'Mapa final'!#REF!),"")</f>
        <v>#REF!</v>
      </c>
      <c r="M6" s="31" t="e">
        <f>IF(AND('Mapa final'!#REF!="Muy Alta",'Mapa final'!#REF!="Leve"),CONCATENATE("R1C",'Mapa final'!#REF!),"")</f>
        <v>#REF!</v>
      </c>
      <c r="N6" s="31" t="e">
        <f>IF(AND('Mapa final'!#REF!="Muy Alta",'Mapa final'!#REF!="Leve"),CONCATENATE("R1C",'Mapa final'!#REF!),"")</f>
        <v>#REF!</v>
      </c>
      <c r="O6" s="32" t="e">
        <f>IF(AND('Mapa final'!#REF!="Muy Alta",'Mapa final'!#REF!="Leve"),CONCATENATE("R1C",'Mapa final'!#REF!),"")</f>
        <v>#REF!</v>
      </c>
      <c r="P6" s="30" t="str">
        <f>IF(AND('Mapa final'!$AB$10="Muy Alta",'Mapa final'!$AD$10="Menor"),CONCATENATE("R1C",'Mapa final'!$R$10),"")</f>
        <v/>
      </c>
      <c r="Q6" s="31" t="str">
        <f>IF(AND('Mapa final'!$AB$11="Muy Alta",'Mapa final'!$AD$11="Menor"),CONCATENATE("R1C",'Mapa final'!$R$11),"")</f>
        <v/>
      </c>
      <c r="R6" s="31" t="e">
        <f>IF(AND('Mapa final'!#REF!="Muy Alta",'Mapa final'!#REF!="Menor"),CONCATENATE("R1C",'Mapa final'!#REF!),"")</f>
        <v>#REF!</v>
      </c>
      <c r="S6" s="31" t="e">
        <f>IF(AND('Mapa final'!#REF!="Muy Alta",'Mapa final'!#REF!="Menor"),CONCATENATE("R1C",'Mapa final'!#REF!),"")</f>
        <v>#REF!</v>
      </c>
      <c r="T6" s="31" t="e">
        <f>IF(AND('Mapa final'!#REF!="Muy Alta",'Mapa final'!#REF!="Menor"),CONCATENATE("R1C",'Mapa final'!#REF!),"")</f>
        <v>#REF!</v>
      </c>
      <c r="U6" s="32" t="e">
        <f>IF(AND('Mapa final'!#REF!="Muy Alta",'Mapa final'!#REF!="Menor"),CONCATENATE("R1C",'Mapa final'!#REF!),"")</f>
        <v>#REF!</v>
      </c>
      <c r="V6" s="30" t="str">
        <f>IF(AND('Mapa final'!$AB$10="Muy Alta",'Mapa final'!$AD$10="Moderado"),CONCATENATE("R1C",'Mapa final'!$R$10),"")</f>
        <v/>
      </c>
      <c r="W6" s="31" t="str">
        <f>IF(AND('Mapa final'!$AB$11="Muy Alta",'Mapa final'!$AD$11="Moderado"),CONCATENATE("R1C",'Mapa final'!$R$11),"")</f>
        <v/>
      </c>
      <c r="X6" s="31" t="e">
        <f>IF(AND('Mapa final'!#REF!="Muy Alta",'Mapa final'!#REF!="Moderado"),CONCATENATE("R1C",'Mapa final'!#REF!),"")</f>
        <v>#REF!</v>
      </c>
      <c r="Y6" s="31" t="e">
        <f>IF(AND('Mapa final'!#REF!="Muy Alta",'Mapa final'!#REF!="Moderado"),CONCATENATE("R1C",'Mapa final'!#REF!),"")</f>
        <v>#REF!</v>
      </c>
      <c r="Z6" s="31" t="e">
        <f>IF(AND('Mapa final'!#REF!="Muy Alta",'Mapa final'!#REF!="Moderado"),CONCATENATE("R1C",'Mapa final'!#REF!),"")</f>
        <v>#REF!</v>
      </c>
      <c r="AA6" s="32" t="e">
        <f>IF(AND('Mapa final'!#REF!="Muy Alta",'Mapa final'!#REF!="Moderado"),CONCATENATE("R1C",'Mapa final'!#REF!),"")</f>
        <v>#REF!</v>
      </c>
      <c r="AB6" s="30" t="str">
        <f>IF(AND('Mapa final'!$AB$10="Muy Alta",'Mapa final'!$AD$10="Mayor"),CONCATENATE("R1C",'Mapa final'!$R$10),"")</f>
        <v/>
      </c>
      <c r="AC6" s="31" t="str">
        <f>IF(AND('Mapa final'!$AB$11="Muy Alta",'Mapa final'!$AD$11="Mayor"),CONCATENATE("R1C",'Mapa final'!$R$11),"")</f>
        <v/>
      </c>
      <c r="AD6" s="31" t="e">
        <f>IF(AND('Mapa final'!#REF!="Muy Alta",'Mapa final'!#REF!="Mayor"),CONCATENATE("R1C",'Mapa final'!#REF!),"")</f>
        <v>#REF!</v>
      </c>
      <c r="AE6" s="31" t="e">
        <f>IF(AND('Mapa final'!#REF!="Muy Alta",'Mapa final'!#REF!="Mayor"),CONCATENATE("R1C",'Mapa final'!#REF!),"")</f>
        <v>#REF!</v>
      </c>
      <c r="AF6" s="31" t="e">
        <f>IF(AND('Mapa final'!#REF!="Muy Alta",'Mapa final'!#REF!="Mayor"),CONCATENATE("R1C",'Mapa final'!#REF!),"")</f>
        <v>#REF!</v>
      </c>
      <c r="AG6" s="32" t="e">
        <f>IF(AND('Mapa final'!#REF!="Muy Alta",'Mapa final'!#REF!="Mayor"),CONCATENATE("R1C",'Mapa final'!#REF!),"")</f>
        <v>#REF!</v>
      </c>
      <c r="AH6" s="33" t="str">
        <f>IF(AND('Mapa final'!$AB$10="Muy Alta",'Mapa final'!$AD$10="Catastrófico"),CONCATENATE("R1C",'Mapa final'!$R$10),"")</f>
        <v/>
      </c>
      <c r="AI6" s="34" t="str">
        <f>IF(AND('Mapa final'!$AB$11="Muy Alta",'Mapa final'!$AD$11="Catastrófico"),CONCATENATE("R1C",'Mapa final'!$R$11),"")</f>
        <v/>
      </c>
      <c r="AJ6" s="34" t="e">
        <f>IF(AND('Mapa final'!#REF!="Muy Alta",'Mapa final'!#REF!="Catastrófico"),CONCATENATE("R1C",'Mapa final'!#REF!),"")</f>
        <v>#REF!</v>
      </c>
      <c r="AK6" s="34" t="e">
        <f>IF(AND('Mapa final'!#REF!="Muy Alta",'Mapa final'!#REF!="Catastrófico"),CONCATENATE("R1C",'Mapa final'!#REF!),"")</f>
        <v>#REF!</v>
      </c>
      <c r="AL6" s="34" t="e">
        <f>IF(AND('Mapa final'!#REF!="Muy Alta",'Mapa final'!#REF!="Catastrófico"),CONCATENATE("R1C",'Mapa final'!#REF!),"")</f>
        <v>#REF!</v>
      </c>
      <c r="AM6" s="35" t="e">
        <f>IF(AND('Mapa final'!#REF!="Muy Alta",'Mapa final'!#REF!="Catastrófico"),CONCATENATE("R1C",'Mapa final'!#REF!),"")</f>
        <v>#REF!</v>
      </c>
      <c r="AN6" s="67"/>
      <c r="AO6" s="590" t="s">
        <v>78</v>
      </c>
      <c r="AP6" s="591"/>
      <c r="AQ6" s="591"/>
      <c r="AR6" s="591"/>
      <c r="AS6" s="591"/>
      <c r="AT6" s="592"/>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row>
    <row r="7" spans="1:91" ht="15" customHeight="1" x14ac:dyDescent="0.3">
      <c r="A7" s="67"/>
      <c r="B7" s="532"/>
      <c r="C7" s="532"/>
      <c r="D7" s="533"/>
      <c r="E7" s="573"/>
      <c r="F7" s="574"/>
      <c r="G7" s="574"/>
      <c r="H7" s="574"/>
      <c r="I7" s="575"/>
      <c r="J7" s="36" t="str">
        <f>IF(AND('Mapa final'!$AB$12="Muy Alta",'Mapa final'!$AD$12="Leve"),CONCATENATE("R2C",'Mapa final'!$R$12),"")</f>
        <v/>
      </c>
      <c r="K7" s="37" t="str">
        <f>IF(AND('Mapa final'!$AB$13="Muy Alta",'Mapa final'!$AD$13="Leve"),CONCATENATE("R2C",'Mapa final'!$R$13),"")</f>
        <v/>
      </c>
      <c r="L7" s="37" t="e">
        <f>IF(AND('Mapa final'!#REF!="Muy Alta",'Mapa final'!#REF!="Leve"),CONCATENATE("R2C",'Mapa final'!#REF!),"")</f>
        <v>#REF!</v>
      </c>
      <c r="M7" s="37" t="e">
        <f>IF(AND('Mapa final'!#REF!="Muy Alta",'Mapa final'!#REF!="Leve"),CONCATENATE("R2C",'Mapa final'!#REF!),"")</f>
        <v>#REF!</v>
      </c>
      <c r="N7" s="37" t="e">
        <f>IF(AND('Mapa final'!#REF!="Muy Alta",'Mapa final'!#REF!="Leve"),CONCATENATE("R2C",'Mapa final'!#REF!),"")</f>
        <v>#REF!</v>
      </c>
      <c r="O7" s="38" t="e">
        <f>IF(AND('Mapa final'!#REF!="Muy Alta",'Mapa final'!#REF!="Leve"),CONCATENATE("R2C",'Mapa final'!#REF!),"")</f>
        <v>#REF!</v>
      </c>
      <c r="P7" s="36" t="str">
        <f>IF(AND('Mapa final'!$AB$12="Muy Alta",'Mapa final'!$AD$12="Menor"),CONCATENATE("R2C",'Mapa final'!$R$12),"")</f>
        <v/>
      </c>
      <c r="Q7" s="37" t="str">
        <f>IF(AND('Mapa final'!$AB$13="Muy Alta",'Mapa final'!$AD$13="Menor"),CONCATENATE("R2C",'Mapa final'!$R$13),"")</f>
        <v/>
      </c>
      <c r="R7" s="37" t="e">
        <f>IF(AND('Mapa final'!#REF!="Muy Alta",'Mapa final'!#REF!="Menor"),CONCATENATE("R2C",'Mapa final'!#REF!),"")</f>
        <v>#REF!</v>
      </c>
      <c r="S7" s="37" t="e">
        <f>IF(AND('Mapa final'!#REF!="Muy Alta",'Mapa final'!#REF!="Menor"),CONCATENATE("R2C",'Mapa final'!#REF!),"")</f>
        <v>#REF!</v>
      </c>
      <c r="T7" s="37" t="e">
        <f>IF(AND('Mapa final'!#REF!="Muy Alta",'Mapa final'!#REF!="Menor"),CONCATENATE("R2C",'Mapa final'!#REF!),"")</f>
        <v>#REF!</v>
      </c>
      <c r="U7" s="38" t="e">
        <f>IF(AND('Mapa final'!#REF!="Muy Alta",'Mapa final'!#REF!="Menor"),CONCATENATE("R2C",'Mapa final'!#REF!),"")</f>
        <v>#REF!</v>
      </c>
      <c r="V7" s="36" t="str">
        <f>IF(AND('Mapa final'!$AB$12="Muy Alta",'Mapa final'!$AD$12="Moderado"),CONCATENATE("R2C",'Mapa final'!$R$12),"")</f>
        <v/>
      </c>
      <c r="W7" s="37" t="str">
        <f>IF(AND('Mapa final'!$AB$13="Muy Alta",'Mapa final'!$AD$13="Moderado"),CONCATENATE("R2C",'Mapa final'!$R$13),"")</f>
        <v/>
      </c>
      <c r="X7" s="37" t="e">
        <f>IF(AND('Mapa final'!#REF!="Muy Alta",'Mapa final'!#REF!="Moderado"),CONCATENATE("R2C",'Mapa final'!#REF!),"")</f>
        <v>#REF!</v>
      </c>
      <c r="Y7" s="37" t="e">
        <f>IF(AND('Mapa final'!#REF!="Muy Alta",'Mapa final'!#REF!="Moderado"),CONCATENATE("R2C",'Mapa final'!#REF!),"")</f>
        <v>#REF!</v>
      </c>
      <c r="Z7" s="37" t="e">
        <f>IF(AND('Mapa final'!#REF!="Muy Alta",'Mapa final'!#REF!="Moderado"),CONCATENATE("R2C",'Mapa final'!#REF!),"")</f>
        <v>#REF!</v>
      </c>
      <c r="AA7" s="38" t="e">
        <f>IF(AND('Mapa final'!#REF!="Muy Alta",'Mapa final'!#REF!="Moderado"),CONCATENATE("R2C",'Mapa final'!#REF!),"")</f>
        <v>#REF!</v>
      </c>
      <c r="AB7" s="36" t="str">
        <f>IF(AND('Mapa final'!$AB$12="Muy Alta",'Mapa final'!$AD$12="Mayor"),CONCATENATE("R2C",'Mapa final'!$R$12),"")</f>
        <v/>
      </c>
      <c r="AC7" s="37" t="str">
        <f>IF(AND('Mapa final'!$AB$13="Muy Alta",'Mapa final'!$AD$13="Mayor"),CONCATENATE("R2C",'Mapa final'!$R$13),"")</f>
        <v/>
      </c>
      <c r="AD7" s="37" t="e">
        <f>IF(AND('Mapa final'!#REF!="Muy Alta",'Mapa final'!#REF!="Mayor"),CONCATENATE("R2C",'Mapa final'!#REF!),"")</f>
        <v>#REF!</v>
      </c>
      <c r="AE7" s="37" t="e">
        <f>IF(AND('Mapa final'!#REF!="Muy Alta",'Mapa final'!#REF!="Mayor"),CONCATENATE("R2C",'Mapa final'!#REF!),"")</f>
        <v>#REF!</v>
      </c>
      <c r="AF7" s="37" t="e">
        <f>IF(AND('Mapa final'!#REF!="Muy Alta",'Mapa final'!#REF!="Mayor"),CONCATENATE("R2C",'Mapa final'!#REF!),"")</f>
        <v>#REF!</v>
      </c>
      <c r="AG7" s="38" t="e">
        <f>IF(AND('Mapa final'!#REF!="Muy Alta",'Mapa final'!#REF!="Mayor"),CONCATENATE("R2C",'Mapa final'!#REF!),"")</f>
        <v>#REF!</v>
      </c>
      <c r="AH7" s="39" t="str">
        <f>IF(AND('Mapa final'!$AB$12="Muy Alta",'Mapa final'!$AD$12="Catastrófico"),CONCATENATE("R2C",'Mapa final'!$R$12),"")</f>
        <v/>
      </c>
      <c r="AI7" s="40" t="str">
        <f>IF(AND('Mapa final'!$AB$13="Muy Alta",'Mapa final'!$AD$13="Catastrófico"),CONCATENATE("R2C",'Mapa final'!$R$13),"")</f>
        <v/>
      </c>
      <c r="AJ7" s="40" t="e">
        <f>IF(AND('Mapa final'!#REF!="Muy Alta",'Mapa final'!#REF!="Catastrófico"),CONCATENATE("R2C",'Mapa final'!#REF!),"")</f>
        <v>#REF!</v>
      </c>
      <c r="AK7" s="40" t="e">
        <f>IF(AND('Mapa final'!#REF!="Muy Alta",'Mapa final'!#REF!="Catastrófico"),CONCATENATE("R2C",'Mapa final'!#REF!),"")</f>
        <v>#REF!</v>
      </c>
      <c r="AL7" s="40" t="e">
        <f>IF(AND('Mapa final'!#REF!="Muy Alta",'Mapa final'!#REF!="Catastrófico"),CONCATENATE("R2C",'Mapa final'!#REF!),"")</f>
        <v>#REF!</v>
      </c>
      <c r="AM7" s="41" t="e">
        <f>IF(AND('Mapa final'!#REF!="Muy Alta",'Mapa final'!#REF!="Catastrófico"),CONCATENATE("R2C",'Mapa final'!#REF!),"")</f>
        <v>#REF!</v>
      </c>
      <c r="AN7" s="67"/>
      <c r="AO7" s="593"/>
      <c r="AP7" s="594"/>
      <c r="AQ7" s="594"/>
      <c r="AR7" s="594"/>
      <c r="AS7" s="594"/>
      <c r="AT7" s="595"/>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row>
    <row r="8" spans="1:91" ht="15" customHeight="1" x14ac:dyDescent="0.3">
      <c r="A8" s="67"/>
      <c r="B8" s="532"/>
      <c r="C8" s="532"/>
      <c r="D8" s="533"/>
      <c r="E8" s="573"/>
      <c r="F8" s="574"/>
      <c r="G8" s="574"/>
      <c r="H8" s="574"/>
      <c r="I8" s="575"/>
      <c r="J8" s="36" t="str">
        <f>IF(AND('Mapa final'!$AB$14="Muy Alta",'Mapa final'!$AD$14="Leve"),CONCATENATE("R3C",'Mapa final'!$R$14),"")</f>
        <v/>
      </c>
      <c r="K8" s="37" t="str">
        <f>IF(AND('Mapa final'!$AB$15="Muy Alta",'Mapa final'!$AD$15="Leve"),CONCATENATE("R3C",'Mapa final'!$R$15),"")</f>
        <v/>
      </c>
      <c r="L8" s="37" t="e">
        <f>IF(AND('Mapa final'!#REF!="Muy Alta",'Mapa final'!#REF!="Leve"),CONCATENATE("R3C",'Mapa final'!#REF!),"")</f>
        <v>#REF!</v>
      </c>
      <c r="M8" s="37" t="e">
        <f>IF(AND('Mapa final'!#REF!="Muy Alta",'Mapa final'!#REF!="Leve"),CONCATENATE("R3C",'Mapa final'!#REF!),"")</f>
        <v>#REF!</v>
      </c>
      <c r="N8" s="37" t="e">
        <f>IF(AND('Mapa final'!#REF!="Muy Alta",'Mapa final'!#REF!="Leve"),CONCATENATE("R3C",'Mapa final'!#REF!),"")</f>
        <v>#REF!</v>
      </c>
      <c r="O8" s="38" t="e">
        <f>IF(AND('Mapa final'!#REF!="Muy Alta",'Mapa final'!#REF!="Leve"),CONCATENATE("R3C",'Mapa final'!#REF!),"")</f>
        <v>#REF!</v>
      </c>
      <c r="P8" s="36" t="str">
        <f>IF(AND('Mapa final'!$AB$14="Muy Alta",'Mapa final'!$AD$14="Menor"),CONCATENATE("R3C",'Mapa final'!$R$14),"")</f>
        <v/>
      </c>
      <c r="Q8" s="37" t="str">
        <f>IF(AND('Mapa final'!$AB$15="Muy Alta",'Mapa final'!$AD$15="Menor"),CONCATENATE("R3C",'Mapa final'!$R$15),"")</f>
        <v/>
      </c>
      <c r="R8" s="37" t="e">
        <f>IF(AND('Mapa final'!#REF!="Muy Alta",'Mapa final'!#REF!="Menor"),CONCATENATE("R3C",'Mapa final'!#REF!),"")</f>
        <v>#REF!</v>
      </c>
      <c r="S8" s="37" t="e">
        <f>IF(AND('Mapa final'!#REF!="Muy Alta",'Mapa final'!#REF!="Menor"),CONCATENATE("R3C",'Mapa final'!#REF!),"")</f>
        <v>#REF!</v>
      </c>
      <c r="T8" s="37" t="e">
        <f>IF(AND('Mapa final'!#REF!="Muy Alta",'Mapa final'!#REF!="Menor"),CONCATENATE("R3C",'Mapa final'!#REF!),"")</f>
        <v>#REF!</v>
      </c>
      <c r="U8" s="38" t="e">
        <f>IF(AND('Mapa final'!#REF!="Muy Alta",'Mapa final'!#REF!="Menor"),CONCATENATE("R3C",'Mapa final'!#REF!),"")</f>
        <v>#REF!</v>
      </c>
      <c r="V8" s="36" t="str">
        <f>IF(AND('Mapa final'!$AB$14="Muy Alta",'Mapa final'!$AD$14="Moderado"),CONCATENATE("R3C",'Mapa final'!$R$14),"")</f>
        <v/>
      </c>
      <c r="W8" s="37" t="str">
        <f>IF(AND('Mapa final'!$AB$15="Muy Alta",'Mapa final'!$AD$15="Moderado"),CONCATENATE("R3C",'Mapa final'!$R$15),"")</f>
        <v/>
      </c>
      <c r="X8" s="37" t="e">
        <f>IF(AND('Mapa final'!#REF!="Muy Alta",'Mapa final'!#REF!="Moderado"),CONCATENATE("R3C",'Mapa final'!#REF!),"")</f>
        <v>#REF!</v>
      </c>
      <c r="Y8" s="37" t="e">
        <f>IF(AND('Mapa final'!#REF!="Muy Alta",'Mapa final'!#REF!="Moderado"),CONCATENATE("R3C",'Mapa final'!#REF!),"")</f>
        <v>#REF!</v>
      </c>
      <c r="Z8" s="37" t="e">
        <f>IF(AND('Mapa final'!#REF!="Muy Alta",'Mapa final'!#REF!="Moderado"),CONCATENATE("R3C",'Mapa final'!#REF!),"")</f>
        <v>#REF!</v>
      </c>
      <c r="AA8" s="38" t="e">
        <f>IF(AND('Mapa final'!#REF!="Muy Alta",'Mapa final'!#REF!="Moderado"),CONCATENATE("R3C",'Mapa final'!#REF!),"")</f>
        <v>#REF!</v>
      </c>
      <c r="AB8" s="36" t="str">
        <f>IF(AND('Mapa final'!$AB$14="Muy Alta",'Mapa final'!$AD$14="Mayor"),CONCATENATE("R3C",'Mapa final'!$R$14),"")</f>
        <v/>
      </c>
      <c r="AC8" s="37" t="str">
        <f>IF(AND('Mapa final'!$AB$15="Muy Alta",'Mapa final'!$AD$15="Mayor"),CONCATENATE("R3C",'Mapa final'!$R$15),"")</f>
        <v/>
      </c>
      <c r="AD8" s="37" t="e">
        <f>IF(AND('Mapa final'!#REF!="Muy Alta",'Mapa final'!#REF!="Mayor"),CONCATENATE("R3C",'Mapa final'!#REF!),"")</f>
        <v>#REF!</v>
      </c>
      <c r="AE8" s="37" t="e">
        <f>IF(AND('Mapa final'!#REF!="Muy Alta",'Mapa final'!#REF!="Mayor"),CONCATENATE("R3C",'Mapa final'!#REF!),"")</f>
        <v>#REF!</v>
      </c>
      <c r="AF8" s="37" t="e">
        <f>IF(AND('Mapa final'!#REF!="Muy Alta",'Mapa final'!#REF!="Mayor"),CONCATENATE("R3C",'Mapa final'!#REF!),"")</f>
        <v>#REF!</v>
      </c>
      <c r="AG8" s="38" t="e">
        <f>IF(AND('Mapa final'!#REF!="Muy Alta",'Mapa final'!#REF!="Mayor"),CONCATENATE("R3C",'Mapa final'!#REF!),"")</f>
        <v>#REF!</v>
      </c>
      <c r="AH8" s="39" t="str">
        <f>IF(AND('Mapa final'!$AB$14="Muy Alta",'Mapa final'!$AD$14="Catastrófico"),CONCATENATE("R3C",'Mapa final'!$R$14),"")</f>
        <v/>
      </c>
      <c r="AI8" s="40" t="str">
        <f>IF(AND('Mapa final'!$AB$15="Muy Alta",'Mapa final'!$AD$15="Catastrófico"),CONCATENATE("R3C",'Mapa final'!$R$15),"")</f>
        <v/>
      </c>
      <c r="AJ8" s="40" t="e">
        <f>IF(AND('Mapa final'!#REF!="Muy Alta",'Mapa final'!#REF!="Catastrófico"),CONCATENATE("R3C",'Mapa final'!#REF!),"")</f>
        <v>#REF!</v>
      </c>
      <c r="AK8" s="40" t="e">
        <f>IF(AND('Mapa final'!#REF!="Muy Alta",'Mapa final'!#REF!="Catastrófico"),CONCATENATE("R3C",'Mapa final'!#REF!),"")</f>
        <v>#REF!</v>
      </c>
      <c r="AL8" s="40" t="e">
        <f>IF(AND('Mapa final'!#REF!="Muy Alta",'Mapa final'!#REF!="Catastrófico"),CONCATENATE("R3C",'Mapa final'!#REF!),"")</f>
        <v>#REF!</v>
      </c>
      <c r="AM8" s="41" t="e">
        <f>IF(AND('Mapa final'!#REF!="Muy Alta",'Mapa final'!#REF!="Catastrófico"),CONCATENATE("R3C",'Mapa final'!#REF!),"")</f>
        <v>#REF!</v>
      </c>
      <c r="AN8" s="67"/>
      <c r="AO8" s="593"/>
      <c r="AP8" s="594"/>
      <c r="AQ8" s="594"/>
      <c r="AR8" s="594"/>
      <c r="AS8" s="594"/>
      <c r="AT8" s="595"/>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row>
    <row r="9" spans="1:91" ht="15" customHeight="1" x14ac:dyDescent="0.3">
      <c r="A9" s="67"/>
      <c r="B9" s="532"/>
      <c r="C9" s="532"/>
      <c r="D9" s="533"/>
      <c r="E9" s="573"/>
      <c r="F9" s="574"/>
      <c r="G9" s="574"/>
      <c r="H9" s="574"/>
      <c r="I9" s="575"/>
      <c r="J9" s="36" t="str">
        <f>IF(AND('Mapa final'!$AB$16="Muy Alta",'Mapa final'!$AD$16="Leve"),CONCATENATE("R4C",'Mapa final'!$R$16),"")</f>
        <v/>
      </c>
      <c r="K9" s="37" t="str">
        <f>IF(AND('Mapa final'!$AB$17="Muy Alta",'Mapa final'!$AD$17="Leve"),CONCATENATE("R4C",'Mapa final'!$R$17),"")</f>
        <v/>
      </c>
      <c r="L9" s="37" t="str">
        <f>IF(AND('Mapa final'!$AB$18="Muy Alta",'Mapa final'!$AD$18="Leve"),CONCATENATE("R4C",'Mapa final'!$R$18),"")</f>
        <v/>
      </c>
      <c r="M9" s="37" t="str">
        <f>IF(AND('Mapa final'!$AB$19="Muy Alta",'Mapa final'!$AD$19="Leve"),CONCATENATE("R4C",'Mapa final'!$R$19),"")</f>
        <v/>
      </c>
      <c r="N9" s="37" t="str">
        <f>IF(AND('Mapa final'!$AB$20="Muy Alta",'Mapa final'!$AD$20="Leve"),CONCATENATE("R4C",'Mapa final'!$R$20),"")</f>
        <v/>
      </c>
      <c r="O9" s="38" t="str">
        <f>IF(AND('Mapa final'!$AB$21="Muy Alta",'Mapa final'!$AD$21="Leve"),CONCATENATE("R4C",'Mapa final'!$R$21),"")</f>
        <v/>
      </c>
      <c r="P9" s="36" t="str">
        <f>IF(AND('Mapa final'!$AB$16="Muy Alta",'Mapa final'!$AD$16="Menor"),CONCATENATE("R4C",'Mapa final'!$R$16),"")</f>
        <v/>
      </c>
      <c r="Q9" s="37" t="str">
        <f>IF(AND('Mapa final'!$AB$17="Muy Alta",'Mapa final'!$AD$17="Menor"),CONCATENATE("R4C",'Mapa final'!$R$17),"")</f>
        <v/>
      </c>
      <c r="R9" s="37" t="str">
        <f>IF(AND('Mapa final'!$AB$18="Muy Alta",'Mapa final'!$AD$18="Menor"),CONCATENATE("R4C",'Mapa final'!$R$18),"")</f>
        <v/>
      </c>
      <c r="S9" s="37" t="str">
        <f>IF(AND('Mapa final'!$AB$19="Muy Alta",'Mapa final'!$AD$19="Menor"),CONCATENATE("R4C",'Mapa final'!$R$19),"")</f>
        <v/>
      </c>
      <c r="T9" s="37" t="str">
        <f>IF(AND('Mapa final'!$AB$20="Muy Alta",'Mapa final'!$AD$20="Menor"),CONCATENATE("R4C",'Mapa final'!$R$20),"")</f>
        <v/>
      </c>
      <c r="U9" s="38" t="str">
        <f>IF(AND('Mapa final'!$AB$21="Muy Alta",'Mapa final'!$AD$21="Menor"),CONCATENATE("R4C",'Mapa final'!$R$21),"")</f>
        <v/>
      </c>
      <c r="V9" s="36" t="str">
        <f>IF(AND('Mapa final'!$AB$16="Muy Alta",'Mapa final'!$AD$16="Moderado"),CONCATENATE("R4C",'Mapa final'!$R$16),"")</f>
        <v/>
      </c>
      <c r="W9" s="37" t="str">
        <f>IF(AND('Mapa final'!$AB$17="Muy Alta",'Mapa final'!$AD$17="Moderado"),CONCATENATE("R4C",'Mapa final'!$R$17),"")</f>
        <v/>
      </c>
      <c r="X9" s="37" t="str">
        <f>IF(AND('Mapa final'!$AB$18="Muy Alta",'Mapa final'!$AD$18="Moderado"),CONCATENATE("R4C",'Mapa final'!$R$18),"")</f>
        <v/>
      </c>
      <c r="Y9" s="37" t="str">
        <f>IF(AND('Mapa final'!$AB$19="Muy Alta",'Mapa final'!$AD$19="Moderado"),CONCATENATE("R4C",'Mapa final'!$R$19),"")</f>
        <v/>
      </c>
      <c r="Z9" s="37" t="str">
        <f>IF(AND('Mapa final'!$AB$20="Muy Alta",'Mapa final'!$AD$20="Moderado"),CONCATENATE("R4C",'Mapa final'!$R$20),"")</f>
        <v/>
      </c>
      <c r="AA9" s="38" t="str">
        <f>IF(AND('Mapa final'!$AB$21="Muy Alta",'Mapa final'!$AD$21="Moderado"),CONCATENATE("R4C",'Mapa final'!$R$21),"")</f>
        <v/>
      </c>
      <c r="AB9" s="36" t="str">
        <f>IF(AND('Mapa final'!$AB$16="Muy Alta",'Mapa final'!$AD$16="Mayor"),CONCATENATE("R4C",'Mapa final'!$R$16),"")</f>
        <v/>
      </c>
      <c r="AC9" s="37" t="str">
        <f>IF(AND('Mapa final'!$AB$17="Muy Alta",'Mapa final'!$AD$17="Mayor"),CONCATENATE("R4C",'Mapa final'!$R$17),"")</f>
        <v/>
      </c>
      <c r="AD9" s="37" t="str">
        <f>IF(AND('Mapa final'!$AB$18="Muy Alta",'Mapa final'!$AD$18="Mayor"),CONCATENATE("R4C",'Mapa final'!$R$18),"")</f>
        <v/>
      </c>
      <c r="AE9" s="37" t="str">
        <f>IF(AND('Mapa final'!$AB$19="Muy Alta",'Mapa final'!$AD$19="Mayor"),CONCATENATE("R4C",'Mapa final'!$R$19),"")</f>
        <v/>
      </c>
      <c r="AF9" s="37" t="str">
        <f>IF(AND('Mapa final'!$AB$20="Muy Alta",'Mapa final'!$AD$20="Mayor"),CONCATENATE("R4C",'Mapa final'!$R$20),"")</f>
        <v/>
      </c>
      <c r="AG9" s="38" t="str">
        <f>IF(AND('Mapa final'!$AB$21="Muy Alta",'Mapa final'!$AD$21="Mayor"),CONCATENATE("R4C",'Mapa final'!$R$21),"")</f>
        <v/>
      </c>
      <c r="AH9" s="39" t="str">
        <f>IF(AND('Mapa final'!$AB$16="Muy Alta",'Mapa final'!$AD$16="Catastrófico"),CONCATENATE("R4C",'Mapa final'!$R$16),"")</f>
        <v/>
      </c>
      <c r="AI9" s="40" t="str">
        <f>IF(AND('Mapa final'!$AB$17="Muy Alta",'Mapa final'!$AD$17="Catastrófico"),CONCATENATE("R4C",'Mapa final'!$R$17),"")</f>
        <v/>
      </c>
      <c r="AJ9" s="40" t="str">
        <f>IF(AND('Mapa final'!$AB$18="Muy Alta",'Mapa final'!$AD$18="Catastrófico"),CONCATENATE("R4C",'Mapa final'!$R$18),"")</f>
        <v/>
      </c>
      <c r="AK9" s="40" t="str">
        <f>IF(AND('Mapa final'!$AB$19="Muy Alta",'Mapa final'!$AD$19="Catastrófico"),CONCATENATE("R4C",'Mapa final'!$R$19),"")</f>
        <v/>
      </c>
      <c r="AL9" s="40" t="str">
        <f>IF(AND('Mapa final'!$AB$20="Muy Alta",'Mapa final'!$AD$20="Catastrófico"),CONCATENATE("R4C",'Mapa final'!$R$20),"")</f>
        <v/>
      </c>
      <c r="AM9" s="41" t="str">
        <f>IF(AND('Mapa final'!$AB$21="Muy Alta",'Mapa final'!$AD$21="Catastrófico"),CONCATENATE("R4C",'Mapa final'!$R$21),"")</f>
        <v/>
      </c>
      <c r="AN9" s="67"/>
      <c r="AO9" s="593"/>
      <c r="AP9" s="594"/>
      <c r="AQ9" s="594"/>
      <c r="AR9" s="594"/>
      <c r="AS9" s="594"/>
      <c r="AT9" s="595"/>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row>
    <row r="10" spans="1:91" ht="15" customHeight="1" x14ac:dyDescent="0.3">
      <c r="A10" s="67"/>
      <c r="B10" s="532"/>
      <c r="C10" s="532"/>
      <c r="D10" s="533"/>
      <c r="E10" s="573"/>
      <c r="F10" s="574"/>
      <c r="G10" s="574"/>
      <c r="H10" s="574"/>
      <c r="I10" s="575"/>
      <c r="J10" s="36" t="str">
        <f>IF(AND('Mapa final'!$AB$22="Muy Alta",'Mapa final'!$AD$22="Leve"),CONCATENATE("R5C",'Mapa final'!$R$22),"")</f>
        <v/>
      </c>
      <c r="K10" s="37" t="str">
        <f>IF(AND('Mapa final'!$AB$23="Muy Alta",'Mapa final'!$AD$23="Leve"),CONCATENATE("R5C",'Mapa final'!$R$23),"")</f>
        <v/>
      </c>
      <c r="L10" s="37" t="str">
        <f>IF(AND('Mapa final'!$AB$24="Muy Alta",'Mapa final'!$AD$24="Leve"),CONCATENATE("R5C",'Mapa final'!$R$24),"")</f>
        <v/>
      </c>
      <c r="M10" s="37" t="str">
        <f>IF(AND('Mapa final'!$AB$25="Muy Alta",'Mapa final'!$AD$25="Leve"),CONCATENATE("R5C",'Mapa final'!$R$25),"")</f>
        <v/>
      </c>
      <c r="N10" s="37" t="str">
        <f>IF(AND('Mapa final'!$AB$26="Muy Alta",'Mapa final'!$AD$26="Leve"),CONCATENATE("R5C",'Mapa final'!$R$26),"")</f>
        <v/>
      </c>
      <c r="O10" s="38" t="str">
        <f>IF(AND('Mapa final'!$AB$27="Muy Alta",'Mapa final'!$AD$27="Leve"),CONCATENATE("R5C",'Mapa final'!$R$27),"")</f>
        <v/>
      </c>
      <c r="P10" s="36" t="str">
        <f>IF(AND('Mapa final'!$AB$22="Muy Alta",'Mapa final'!$AD$22="Menor"),CONCATENATE("R5C",'Mapa final'!$R$22),"")</f>
        <v/>
      </c>
      <c r="Q10" s="37" t="str">
        <f>IF(AND('Mapa final'!$AB$23="Muy Alta",'Mapa final'!$AD$23="Menor"),CONCATENATE("R5C",'Mapa final'!$R$23),"")</f>
        <v/>
      </c>
      <c r="R10" s="37" t="str">
        <f>IF(AND('Mapa final'!$AB$24="Muy Alta",'Mapa final'!$AD$24="Menor"),CONCATENATE("R5C",'Mapa final'!$R$24),"")</f>
        <v/>
      </c>
      <c r="S10" s="37" t="str">
        <f>IF(AND('Mapa final'!$AB$25="Muy Alta",'Mapa final'!$AD$25="Menor"),CONCATENATE("R5C",'Mapa final'!$R$25),"")</f>
        <v/>
      </c>
      <c r="T10" s="37" t="str">
        <f>IF(AND('Mapa final'!$AB$26="Muy Alta",'Mapa final'!$AD$26="Menor"),CONCATENATE("R5C",'Mapa final'!$R$26),"")</f>
        <v/>
      </c>
      <c r="U10" s="38" t="str">
        <f>IF(AND('Mapa final'!$AB$27="Muy Alta",'Mapa final'!$AD$27="Menor"),CONCATENATE("R5C",'Mapa final'!$R$27),"")</f>
        <v/>
      </c>
      <c r="V10" s="36" t="str">
        <f>IF(AND('Mapa final'!$AB$22="Muy Alta",'Mapa final'!$AD$22="Moderado"),CONCATENATE("R5C",'Mapa final'!$R$22),"")</f>
        <v/>
      </c>
      <c r="W10" s="37" t="str">
        <f>IF(AND('Mapa final'!$AB$23="Muy Alta",'Mapa final'!$AD$23="Moderado"),CONCATENATE("R5C",'Mapa final'!$R$23),"")</f>
        <v/>
      </c>
      <c r="X10" s="37" t="str">
        <f>IF(AND('Mapa final'!$AB$24="Muy Alta",'Mapa final'!$AD$24="Moderado"),CONCATENATE("R5C",'Mapa final'!$R$24),"")</f>
        <v/>
      </c>
      <c r="Y10" s="37" t="str">
        <f>IF(AND('Mapa final'!$AB$25="Muy Alta",'Mapa final'!$AD$25="Moderado"),CONCATENATE("R5C",'Mapa final'!$R$25),"")</f>
        <v/>
      </c>
      <c r="Z10" s="37" t="str">
        <f>IF(AND('Mapa final'!$AB$26="Muy Alta",'Mapa final'!$AD$26="Moderado"),CONCATENATE("R5C",'Mapa final'!$R$26),"")</f>
        <v/>
      </c>
      <c r="AA10" s="38" t="str">
        <f>IF(AND('Mapa final'!$AB$27="Muy Alta",'Mapa final'!$AD$27="Moderado"),CONCATENATE("R5C",'Mapa final'!$R$27),"")</f>
        <v/>
      </c>
      <c r="AB10" s="36" t="str">
        <f>IF(AND('Mapa final'!$AB$22="Muy Alta",'Mapa final'!$AD$22="Mayor"),CONCATENATE("R5C",'Mapa final'!$R$22),"")</f>
        <v/>
      </c>
      <c r="AC10" s="37" t="str">
        <f>IF(AND('Mapa final'!$AB$23="Muy Alta",'Mapa final'!$AD$23="Mayor"),CONCATENATE("R5C",'Mapa final'!$R$23),"")</f>
        <v/>
      </c>
      <c r="AD10" s="37" t="str">
        <f>IF(AND('Mapa final'!$AB$24="Muy Alta",'Mapa final'!$AD$24="Mayor"),CONCATENATE("R5C",'Mapa final'!$R$24),"")</f>
        <v/>
      </c>
      <c r="AE10" s="37" t="str">
        <f>IF(AND('Mapa final'!$AB$25="Muy Alta",'Mapa final'!$AD$25="Mayor"),CONCATENATE("R5C",'Mapa final'!$R$25),"")</f>
        <v/>
      </c>
      <c r="AF10" s="37" t="str">
        <f>IF(AND('Mapa final'!$AB$26="Muy Alta",'Mapa final'!$AD$26="Mayor"),CONCATENATE("R5C",'Mapa final'!$R$26),"")</f>
        <v/>
      </c>
      <c r="AG10" s="38" t="str">
        <f>IF(AND('Mapa final'!$AB$27="Muy Alta",'Mapa final'!$AD$27="Mayor"),CONCATENATE("R5C",'Mapa final'!$R$27),"")</f>
        <v/>
      </c>
      <c r="AH10" s="39" t="str">
        <f>IF(AND('Mapa final'!$AB$22="Muy Alta",'Mapa final'!$AD$22="Catastrófico"),CONCATENATE("R5C",'Mapa final'!$R$22),"")</f>
        <v/>
      </c>
      <c r="AI10" s="40" t="str">
        <f>IF(AND('Mapa final'!$AB$23="Muy Alta",'Mapa final'!$AD$23="Catastrófico"),CONCATENATE("R5C",'Mapa final'!$R$23),"")</f>
        <v/>
      </c>
      <c r="AJ10" s="40" t="str">
        <f>IF(AND('Mapa final'!$AB$24="Muy Alta",'Mapa final'!$AD$24="Catastrófico"),CONCATENATE("R5C",'Mapa final'!$R$24),"")</f>
        <v/>
      </c>
      <c r="AK10" s="40" t="str">
        <f>IF(AND('Mapa final'!$AB$25="Muy Alta",'Mapa final'!$AD$25="Catastrófico"),CONCATENATE("R5C",'Mapa final'!$R$25),"")</f>
        <v/>
      </c>
      <c r="AL10" s="40" t="str">
        <f>IF(AND('Mapa final'!$AB$26="Muy Alta",'Mapa final'!$AD$26="Catastrófico"),CONCATENATE("R5C",'Mapa final'!$R$26),"")</f>
        <v/>
      </c>
      <c r="AM10" s="41" t="str">
        <f>IF(AND('Mapa final'!$AB$27="Muy Alta",'Mapa final'!$AD$27="Catastrófico"),CONCATENATE("R5C",'Mapa final'!$R$27),"")</f>
        <v/>
      </c>
      <c r="AN10" s="67"/>
      <c r="AO10" s="593"/>
      <c r="AP10" s="594"/>
      <c r="AQ10" s="594"/>
      <c r="AR10" s="594"/>
      <c r="AS10" s="594"/>
      <c r="AT10" s="595"/>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row>
    <row r="11" spans="1:91" ht="15" customHeight="1" x14ac:dyDescent="0.3">
      <c r="A11" s="67"/>
      <c r="B11" s="532"/>
      <c r="C11" s="532"/>
      <c r="D11" s="533"/>
      <c r="E11" s="573"/>
      <c r="F11" s="574"/>
      <c r="G11" s="574"/>
      <c r="H11" s="574"/>
      <c r="I11" s="575"/>
      <c r="J11" s="36" t="str">
        <f>IF(AND('Mapa final'!$AB$28="Muy Alta",'Mapa final'!$AD$28="Leve"),CONCATENATE("R6C",'Mapa final'!$R$28),"")</f>
        <v/>
      </c>
      <c r="K11" s="37" t="str">
        <f>IF(AND('Mapa final'!$AB$29="Muy Alta",'Mapa final'!$AD$29="Leve"),CONCATENATE("R6C",'Mapa final'!$R$29),"")</f>
        <v/>
      </c>
      <c r="L11" s="37" t="str">
        <f>IF(AND('Mapa final'!$AB$30="Muy Alta",'Mapa final'!$AD$30="Leve"),CONCATENATE("R6C",'Mapa final'!$R$30),"")</f>
        <v/>
      </c>
      <c r="M11" s="37" t="str">
        <f>IF(AND('Mapa final'!$AB$31="Muy Alta",'Mapa final'!$AD$31="Leve"),CONCATENATE("R6C",'Mapa final'!$R$31),"")</f>
        <v/>
      </c>
      <c r="N11" s="37" t="str">
        <f>IF(AND('Mapa final'!$AB$32="Muy Alta",'Mapa final'!$AD$32="Leve"),CONCATENATE("R6C",'Mapa final'!$R$32),"")</f>
        <v/>
      </c>
      <c r="O11" s="38" t="str">
        <f>IF(AND('Mapa final'!$AB$33="Muy Alta",'Mapa final'!$AD$33="Leve"),CONCATENATE("R6C",'Mapa final'!$R$33),"")</f>
        <v/>
      </c>
      <c r="P11" s="36" t="str">
        <f>IF(AND('Mapa final'!$AB$28="Muy Alta",'Mapa final'!$AD$28="Menor"),CONCATENATE("R6C",'Mapa final'!$R$28),"")</f>
        <v/>
      </c>
      <c r="Q11" s="37" t="str">
        <f>IF(AND('Mapa final'!$AB$29="Muy Alta",'Mapa final'!$AD$29="Menor"),CONCATENATE("R6C",'Mapa final'!$R$29),"")</f>
        <v/>
      </c>
      <c r="R11" s="37" t="str">
        <f>IF(AND('Mapa final'!$AB$30="Muy Alta",'Mapa final'!$AD$30="Menor"),CONCATENATE("R6C",'Mapa final'!$R$30),"")</f>
        <v/>
      </c>
      <c r="S11" s="37" t="str">
        <f>IF(AND('Mapa final'!$AB$31="Muy Alta",'Mapa final'!$AD$31="Menor"),CONCATENATE("R6C",'Mapa final'!$R$31),"")</f>
        <v/>
      </c>
      <c r="T11" s="37" t="str">
        <f>IF(AND('Mapa final'!$AB$32="Muy Alta",'Mapa final'!$AD$32="Menor"),CONCATENATE("R6C",'Mapa final'!$R$32),"")</f>
        <v/>
      </c>
      <c r="U11" s="38" t="str">
        <f>IF(AND('Mapa final'!$AB$33="Muy Alta",'Mapa final'!$AD$33="Menor"),CONCATENATE("R6C",'Mapa final'!$R$33),"")</f>
        <v/>
      </c>
      <c r="V11" s="36" t="str">
        <f>IF(AND('Mapa final'!$AB$28="Muy Alta",'Mapa final'!$AD$28="Moderado"),CONCATENATE("R6C",'Mapa final'!$R$28),"")</f>
        <v/>
      </c>
      <c r="W11" s="37" t="str">
        <f>IF(AND('Mapa final'!$AB$29="Muy Alta",'Mapa final'!$AD$29="Moderado"),CONCATENATE("R6C",'Mapa final'!$R$29),"")</f>
        <v/>
      </c>
      <c r="X11" s="37" t="str">
        <f>IF(AND('Mapa final'!$AB$30="Muy Alta",'Mapa final'!$AD$30="Moderado"),CONCATENATE("R6C",'Mapa final'!$R$30),"")</f>
        <v/>
      </c>
      <c r="Y11" s="37" t="str">
        <f>IF(AND('Mapa final'!$AB$31="Muy Alta",'Mapa final'!$AD$31="Moderado"),CONCATENATE("R6C",'Mapa final'!$R$31),"")</f>
        <v/>
      </c>
      <c r="Z11" s="37" t="str">
        <f>IF(AND('Mapa final'!$AB$32="Muy Alta",'Mapa final'!$AD$32="Moderado"),CONCATENATE("R6C",'Mapa final'!$R$32),"")</f>
        <v/>
      </c>
      <c r="AA11" s="38" t="str">
        <f>IF(AND('Mapa final'!$AB$33="Muy Alta",'Mapa final'!$AD$33="Moderado"),CONCATENATE("R6C",'Mapa final'!$R$33),"")</f>
        <v/>
      </c>
      <c r="AB11" s="36" t="str">
        <f>IF(AND('Mapa final'!$AB$28="Muy Alta",'Mapa final'!$AD$28="Mayor"),CONCATENATE("R6C",'Mapa final'!$R$28),"")</f>
        <v/>
      </c>
      <c r="AC11" s="37" t="str">
        <f>IF(AND('Mapa final'!$AB$29="Muy Alta",'Mapa final'!$AD$29="Mayor"),CONCATENATE("R6C",'Mapa final'!$R$29),"")</f>
        <v/>
      </c>
      <c r="AD11" s="37" t="str">
        <f>IF(AND('Mapa final'!$AB$30="Muy Alta",'Mapa final'!$AD$30="Mayor"),CONCATENATE("R6C",'Mapa final'!$R$30),"")</f>
        <v/>
      </c>
      <c r="AE11" s="37" t="str">
        <f>IF(AND('Mapa final'!$AB$31="Muy Alta",'Mapa final'!$AD$31="Mayor"),CONCATENATE("R6C",'Mapa final'!$R$31),"")</f>
        <v/>
      </c>
      <c r="AF11" s="37" t="str">
        <f>IF(AND('Mapa final'!$AB$32="Muy Alta",'Mapa final'!$AD$32="Mayor"),CONCATENATE("R6C",'Mapa final'!$R$32),"")</f>
        <v/>
      </c>
      <c r="AG11" s="38" t="str">
        <f>IF(AND('Mapa final'!$AB$33="Muy Alta",'Mapa final'!$AD$33="Mayor"),CONCATENATE("R6C",'Mapa final'!$R$33),"")</f>
        <v/>
      </c>
      <c r="AH11" s="39" t="str">
        <f>IF(AND('Mapa final'!$AB$28="Muy Alta",'Mapa final'!$AD$28="Catastrófico"),CONCATENATE("R6C",'Mapa final'!$R$28),"")</f>
        <v/>
      </c>
      <c r="AI11" s="40" t="str">
        <f>IF(AND('Mapa final'!$AB$29="Muy Alta",'Mapa final'!$AD$29="Catastrófico"),CONCATENATE("R6C",'Mapa final'!$R$29),"")</f>
        <v/>
      </c>
      <c r="AJ11" s="40" t="str">
        <f>IF(AND('Mapa final'!$AB$30="Muy Alta",'Mapa final'!$AD$30="Catastrófico"),CONCATENATE("R6C",'Mapa final'!$R$30),"")</f>
        <v/>
      </c>
      <c r="AK11" s="40" t="str">
        <f>IF(AND('Mapa final'!$AB$31="Muy Alta",'Mapa final'!$AD$31="Catastrófico"),CONCATENATE("R6C",'Mapa final'!$R$31),"")</f>
        <v/>
      </c>
      <c r="AL11" s="40" t="str">
        <f>IF(AND('Mapa final'!$AB$32="Muy Alta",'Mapa final'!$AD$32="Catastrófico"),CONCATENATE("R6C",'Mapa final'!$R$32),"")</f>
        <v/>
      </c>
      <c r="AM11" s="41" t="str">
        <f>IF(AND('Mapa final'!$AB$33="Muy Alta",'Mapa final'!$AD$33="Catastrófico"),CONCATENATE("R6C",'Mapa final'!$R$33),"")</f>
        <v/>
      </c>
      <c r="AN11" s="67"/>
      <c r="AO11" s="593"/>
      <c r="AP11" s="594"/>
      <c r="AQ11" s="594"/>
      <c r="AR11" s="594"/>
      <c r="AS11" s="594"/>
      <c r="AT11" s="595"/>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row>
    <row r="12" spans="1:91" ht="15" customHeight="1" x14ac:dyDescent="0.3">
      <c r="A12" s="67"/>
      <c r="B12" s="532"/>
      <c r="C12" s="532"/>
      <c r="D12" s="533"/>
      <c r="E12" s="573"/>
      <c r="F12" s="574"/>
      <c r="G12" s="574"/>
      <c r="H12" s="574"/>
      <c r="I12" s="575"/>
      <c r="J12" s="36" t="str">
        <f>IF(AND('Mapa final'!$AB$34="Muy Alta",'Mapa final'!$AD$34="Leve"),CONCATENATE("R7C",'Mapa final'!$R$34),"")</f>
        <v/>
      </c>
      <c r="K12" s="37" t="str">
        <f>IF(AND('Mapa final'!$AB$35="Muy Alta",'Mapa final'!$AD$35="Leve"),CONCATENATE("R7C",'Mapa final'!$R$35),"")</f>
        <v/>
      </c>
      <c r="L12" s="37" t="str">
        <f>IF(AND('Mapa final'!$AB$36="Muy Alta",'Mapa final'!$AD$36="Leve"),CONCATENATE("R7C",'Mapa final'!$R$36),"")</f>
        <v/>
      </c>
      <c r="M12" s="37" t="str">
        <f>IF(AND('Mapa final'!$AB$37="Muy Alta",'Mapa final'!$AD$37="Leve"),CONCATENATE("R7C",'Mapa final'!$R$37),"")</f>
        <v/>
      </c>
      <c r="N12" s="37" t="str">
        <f>IF(AND('Mapa final'!$AB$38="Muy Alta",'Mapa final'!$AD$38="Leve"),CONCATENATE("R7C",'Mapa final'!$R$38),"")</f>
        <v/>
      </c>
      <c r="O12" s="38" t="str">
        <f>IF(AND('Mapa final'!$AB$39="Muy Alta",'Mapa final'!$AD$39="Leve"),CONCATENATE("R7C",'Mapa final'!$R$39),"")</f>
        <v/>
      </c>
      <c r="P12" s="36" t="str">
        <f>IF(AND('Mapa final'!$AB$34="Muy Alta",'Mapa final'!$AD$34="Menor"),CONCATENATE("R7C",'Mapa final'!$R$34),"")</f>
        <v/>
      </c>
      <c r="Q12" s="37" t="str">
        <f>IF(AND('Mapa final'!$AB$35="Muy Alta",'Mapa final'!$AD$35="Menor"),CONCATENATE("R7C",'Mapa final'!$R$35),"")</f>
        <v/>
      </c>
      <c r="R12" s="37" t="str">
        <f>IF(AND('Mapa final'!$AB$36="Muy Alta",'Mapa final'!$AD$36="Menor"),CONCATENATE("R7C",'Mapa final'!$R$36),"")</f>
        <v/>
      </c>
      <c r="S12" s="37" t="str">
        <f>IF(AND('Mapa final'!$AB$37="Muy Alta",'Mapa final'!$AD$37="Menor"),CONCATENATE("R7C",'Mapa final'!$R$37),"")</f>
        <v/>
      </c>
      <c r="T12" s="37" t="str">
        <f>IF(AND('Mapa final'!$AB$38="Muy Alta",'Mapa final'!$AD$38="Menor"),CONCATENATE("R7C",'Mapa final'!$R$38),"")</f>
        <v/>
      </c>
      <c r="U12" s="38" t="str">
        <f>IF(AND('Mapa final'!$AB$39="Muy Alta",'Mapa final'!$AD$39="Menor"),CONCATENATE("R7C",'Mapa final'!$R$39),"")</f>
        <v/>
      </c>
      <c r="V12" s="36" t="str">
        <f>IF(AND('Mapa final'!$AB$34="Muy Alta",'Mapa final'!$AD$34="Moderado"),CONCATENATE("R7C",'Mapa final'!$R$34),"")</f>
        <v/>
      </c>
      <c r="W12" s="37" t="str">
        <f>IF(AND('Mapa final'!$AB$35="Muy Alta",'Mapa final'!$AD$35="Moderado"),CONCATENATE("R7C",'Mapa final'!$R$35),"")</f>
        <v/>
      </c>
      <c r="X12" s="37" t="str">
        <f>IF(AND('Mapa final'!$AB$36="Muy Alta",'Mapa final'!$AD$36="Moderado"),CONCATENATE("R7C",'Mapa final'!$R$36),"")</f>
        <v/>
      </c>
      <c r="Y12" s="37" t="str">
        <f>IF(AND('Mapa final'!$AB$37="Muy Alta",'Mapa final'!$AD$37="Moderado"),CONCATENATE("R7C",'Mapa final'!$R$37),"")</f>
        <v/>
      </c>
      <c r="Z12" s="37" t="str">
        <f>IF(AND('Mapa final'!$AB$38="Muy Alta",'Mapa final'!$AD$38="Moderado"),CONCATENATE("R7C",'Mapa final'!$R$38),"")</f>
        <v/>
      </c>
      <c r="AA12" s="38" t="str">
        <f>IF(AND('Mapa final'!$AB$39="Muy Alta",'Mapa final'!$AD$39="Moderado"),CONCATENATE("R7C",'Mapa final'!$R$39),"")</f>
        <v/>
      </c>
      <c r="AB12" s="36" t="str">
        <f>IF(AND('Mapa final'!$AB$34="Muy Alta",'Mapa final'!$AD$34="Mayor"),CONCATENATE("R7C",'Mapa final'!$R$34),"")</f>
        <v/>
      </c>
      <c r="AC12" s="37" t="str">
        <f>IF(AND('Mapa final'!$AB$35="Muy Alta",'Mapa final'!$AD$35="Mayor"),CONCATENATE("R7C",'Mapa final'!$R$35),"")</f>
        <v/>
      </c>
      <c r="AD12" s="37" t="str">
        <f>IF(AND('Mapa final'!$AB$36="Muy Alta",'Mapa final'!$AD$36="Mayor"),CONCATENATE("R7C",'Mapa final'!$R$36),"")</f>
        <v/>
      </c>
      <c r="AE12" s="37" t="str">
        <f>IF(AND('Mapa final'!$AB$37="Muy Alta",'Mapa final'!$AD$37="Mayor"),CONCATENATE("R7C",'Mapa final'!$R$37),"")</f>
        <v/>
      </c>
      <c r="AF12" s="37" t="str">
        <f>IF(AND('Mapa final'!$AB$38="Muy Alta",'Mapa final'!$AD$38="Mayor"),CONCATENATE("R7C",'Mapa final'!$R$38),"")</f>
        <v/>
      </c>
      <c r="AG12" s="38" t="str">
        <f>IF(AND('Mapa final'!$AB$39="Muy Alta",'Mapa final'!$AD$39="Mayor"),CONCATENATE("R7C",'Mapa final'!$R$39),"")</f>
        <v/>
      </c>
      <c r="AH12" s="39" t="str">
        <f>IF(AND('Mapa final'!$AB$34="Muy Alta",'Mapa final'!$AD$34="Catastrófico"),CONCATENATE("R7C",'Mapa final'!$R$34),"")</f>
        <v/>
      </c>
      <c r="AI12" s="40" t="str">
        <f>IF(AND('Mapa final'!$AB$35="Muy Alta",'Mapa final'!$AD$35="Catastrófico"),CONCATENATE("R7C",'Mapa final'!$R$35),"")</f>
        <v/>
      </c>
      <c r="AJ12" s="40" t="str">
        <f>IF(AND('Mapa final'!$AB$36="Muy Alta",'Mapa final'!$AD$36="Catastrófico"),CONCATENATE("R7C",'Mapa final'!$R$36),"")</f>
        <v/>
      </c>
      <c r="AK12" s="40" t="str">
        <f>IF(AND('Mapa final'!$AB$37="Muy Alta",'Mapa final'!$AD$37="Catastrófico"),CONCATENATE("R7C",'Mapa final'!$R$37),"")</f>
        <v/>
      </c>
      <c r="AL12" s="40" t="str">
        <f>IF(AND('Mapa final'!$AB$38="Muy Alta",'Mapa final'!$AD$38="Catastrófico"),CONCATENATE("R7C",'Mapa final'!$R$38),"")</f>
        <v/>
      </c>
      <c r="AM12" s="41" t="str">
        <f>IF(AND('Mapa final'!$AB$39="Muy Alta",'Mapa final'!$AD$39="Catastrófico"),CONCATENATE("R7C",'Mapa final'!$R$39),"")</f>
        <v/>
      </c>
      <c r="AN12" s="67"/>
      <c r="AO12" s="593"/>
      <c r="AP12" s="594"/>
      <c r="AQ12" s="594"/>
      <c r="AR12" s="594"/>
      <c r="AS12" s="594"/>
      <c r="AT12" s="595"/>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row>
    <row r="13" spans="1:91" ht="15" customHeight="1" x14ac:dyDescent="0.3">
      <c r="A13" s="67"/>
      <c r="B13" s="532"/>
      <c r="C13" s="532"/>
      <c r="D13" s="533"/>
      <c r="E13" s="573"/>
      <c r="F13" s="574"/>
      <c r="G13" s="574"/>
      <c r="H13" s="574"/>
      <c r="I13" s="575"/>
      <c r="J13" s="36" t="str">
        <f>IF(AND('Mapa final'!$AB$40="Muy Alta",'Mapa final'!$AD$40="Leve"),CONCATENATE("R8C",'Mapa final'!$R$40),"")</f>
        <v/>
      </c>
      <c r="K13" s="37" t="str">
        <f>IF(AND('Mapa final'!$AB$41="Muy Alta",'Mapa final'!$AD$41="Leve"),CONCATENATE("R8C",'Mapa final'!$R$41),"")</f>
        <v/>
      </c>
      <c r="L13" s="37" t="str">
        <f>IF(AND('Mapa final'!$AB$42="Muy Alta",'Mapa final'!$AD$42="Leve"),CONCATENATE("R8C",'Mapa final'!$R$42),"")</f>
        <v/>
      </c>
      <c r="M13" s="37" t="str">
        <f>IF(AND('Mapa final'!$AB$43="Muy Alta",'Mapa final'!$AD$43="Leve"),CONCATENATE("R8C",'Mapa final'!$R$43),"")</f>
        <v/>
      </c>
      <c r="N13" s="37" t="str">
        <f>IF(AND('Mapa final'!$AB$44="Muy Alta",'Mapa final'!$AD$44="Leve"),CONCATENATE("R8C",'Mapa final'!$R$44),"")</f>
        <v/>
      </c>
      <c r="O13" s="38" t="str">
        <f>IF(AND('Mapa final'!$AB$45="Muy Alta",'Mapa final'!$AD$45="Leve"),CONCATENATE("R8C",'Mapa final'!$R$45),"")</f>
        <v/>
      </c>
      <c r="P13" s="36" t="str">
        <f>IF(AND('Mapa final'!$AB$40="Muy Alta",'Mapa final'!$AD$40="Menor"),CONCATENATE("R8C",'Mapa final'!$R$40),"")</f>
        <v/>
      </c>
      <c r="Q13" s="37" t="str">
        <f>IF(AND('Mapa final'!$AB$41="Muy Alta",'Mapa final'!$AD$41="Menor"),CONCATENATE("R8C",'Mapa final'!$R$41),"")</f>
        <v/>
      </c>
      <c r="R13" s="37" t="str">
        <f>IF(AND('Mapa final'!$AB$42="Muy Alta",'Mapa final'!$AD$42="Menor"),CONCATENATE("R8C",'Mapa final'!$R$42),"")</f>
        <v/>
      </c>
      <c r="S13" s="37" t="str">
        <f>IF(AND('Mapa final'!$AB$43="Muy Alta",'Mapa final'!$AD$43="Menor"),CONCATENATE("R8C",'Mapa final'!$R$43),"")</f>
        <v/>
      </c>
      <c r="T13" s="37" t="str">
        <f>IF(AND('Mapa final'!$AB$44="Muy Alta",'Mapa final'!$AD$44="Menor"),CONCATENATE("R8C",'Mapa final'!$R$44),"")</f>
        <v/>
      </c>
      <c r="U13" s="38" t="str">
        <f>IF(AND('Mapa final'!$AB$45="Muy Alta",'Mapa final'!$AD$45="Menor"),CONCATENATE("R8C",'Mapa final'!$R$45),"")</f>
        <v/>
      </c>
      <c r="V13" s="36" t="str">
        <f>IF(AND('Mapa final'!$AB$40="Muy Alta",'Mapa final'!$AD$40="Moderado"),CONCATENATE("R8C",'Mapa final'!$R$40),"")</f>
        <v/>
      </c>
      <c r="W13" s="37" t="str">
        <f>IF(AND('Mapa final'!$AB$41="Muy Alta",'Mapa final'!$AD$41="Moderado"),CONCATENATE("R8C",'Mapa final'!$R$41),"")</f>
        <v/>
      </c>
      <c r="X13" s="37" t="str">
        <f>IF(AND('Mapa final'!$AB$42="Muy Alta",'Mapa final'!$AD$42="Moderado"),CONCATENATE("R8C",'Mapa final'!$R$42),"")</f>
        <v/>
      </c>
      <c r="Y13" s="37" t="str">
        <f>IF(AND('Mapa final'!$AB$43="Muy Alta",'Mapa final'!$AD$43="Moderado"),CONCATENATE("R8C",'Mapa final'!$R$43),"")</f>
        <v/>
      </c>
      <c r="Z13" s="37" t="str">
        <f>IF(AND('Mapa final'!$AB$44="Muy Alta",'Mapa final'!$AD$44="Moderado"),CONCATENATE("R8C",'Mapa final'!$R$44),"")</f>
        <v/>
      </c>
      <c r="AA13" s="38" t="str">
        <f>IF(AND('Mapa final'!$AB$45="Muy Alta",'Mapa final'!$AD$45="Moderado"),CONCATENATE("R8C",'Mapa final'!$R$45),"")</f>
        <v/>
      </c>
      <c r="AB13" s="36" t="str">
        <f>IF(AND('Mapa final'!$AB$40="Muy Alta",'Mapa final'!$AD$40="Mayor"),CONCATENATE("R8C",'Mapa final'!$R$40),"")</f>
        <v/>
      </c>
      <c r="AC13" s="37" t="str">
        <f>IF(AND('Mapa final'!$AB$41="Muy Alta",'Mapa final'!$AD$41="Mayor"),CONCATENATE("R8C",'Mapa final'!$R$41),"")</f>
        <v/>
      </c>
      <c r="AD13" s="37" t="str">
        <f>IF(AND('Mapa final'!$AB$42="Muy Alta",'Mapa final'!$AD$42="Mayor"),CONCATENATE("R8C",'Mapa final'!$R$42),"")</f>
        <v/>
      </c>
      <c r="AE13" s="37" t="str">
        <f>IF(AND('Mapa final'!$AB$43="Muy Alta",'Mapa final'!$AD$43="Mayor"),CONCATENATE("R8C",'Mapa final'!$R$43),"")</f>
        <v/>
      </c>
      <c r="AF13" s="37" t="str">
        <f>IF(AND('Mapa final'!$AB$44="Muy Alta",'Mapa final'!$AD$44="Mayor"),CONCATENATE("R8C",'Mapa final'!$R$44),"")</f>
        <v/>
      </c>
      <c r="AG13" s="38" t="str">
        <f>IF(AND('Mapa final'!$AB$45="Muy Alta",'Mapa final'!$AD$45="Mayor"),CONCATENATE("R8C",'Mapa final'!$R$45),"")</f>
        <v/>
      </c>
      <c r="AH13" s="39" t="str">
        <f>IF(AND('Mapa final'!$AB$40="Muy Alta",'Mapa final'!$AD$40="Catastrófico"),CONCATENATE("R8C",'Mapa final'!$R$40),"")</f>
        <v/>
      </c>
      <c r="AI13" s="40" t="str">
        <f>IF(AND('Mapa final'!$AB$41="Muy Alta",'Mapa final'!$AD$41="Catastrófico"),CONCATENATE("R8C",'Mapa final'!$R$41),"")</f>
        <v/>
      </c>
      <c r="AJ13" s="40" t="str">
        <f>IF(AND('Mapa final'!$AB$42="Muy Alta",'Mapa final'!$AD$42="Catastrófico"),CONCATENATE("R8C",'Mapa final'!$R$42),"")</f>
        <v/>
      </c>
      <c r="AK13" s="40" t="str">
        <f>IF(AND('Mapa final'!$AB$43="Muy Alta",'Mapa final'!$AD$43="Catastrófico"),CONCATENATE("R8C",'Mapa final'!$R$43),"")</f>
        <v/>
      </c>
      <c r="AL13" s="40" t="str">
        <f>IF(AND('Mapa final'!$AB$44="Muy Alta",'Mapa final'!$AD$44="Catastrófico"),CONCATENATE("R8C",'Mapa final'!$R$44),"")</f>
        <v/>
      </c>
      <c r="AM13" s="41" t="str">
        <f>IF(AND('Mapa final'!$AB$45="Muy Alta",'Mapa final'!$AD$45="Catastrófico"),CONCATENATE("R8C",'Mapa final'!$R$45),"")</f>
        <v/>
      </c>
      <c r="AN13" s="67"/>
      <c r="AO13" s="593"/>
      <c r="AP13" s="594"/>
      <c r="AQ13" s="594"/>
      <c r="AR13" s="594"/>
      <c r="AS13" s="594"/>
      <c r="AT13" s="595"/>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row>
    <row r="14" spans="1:91" ht="15" customHeight="1" x14ac:dyDescent="0.3">
      <c r="A14" s="67"/>
      <c r="B14" s="532"/>
      <c r="C14" s="532"/>
      <c r="D14" s="533"/>
      <c r="E14" s="573"/>
      <c r="F14" s="574"/>
      <c r="G14" s="574"/>
      <c r="H14" s="574"/>
      <c r="I14" s="575"/>
      <c r="J14" s="36" t="str">
        <f>IF(AND('Mapa final'!$AB$46="Muy Alta",'Mapa final'!$AD$46="Leve"),CONCATENATE("R9C",'Mapa final'!$R$46),"")</f>
        <v/>
      </c>
      <c r="K14" s="37" t="str">
        <f>IF(AND('Mapa final'!$AB$47="Muy Alta",'Mapa final'!$AD$47="Leve"),CONCATENATE("R9C",'Mapa final'!$R$47),"")</f>
        <v/>
      </c>
      <c r="L14" s="37" t="str">
        <f>IF(AND('Mapa final'!$AB$48="Muy Alta",'Mapa final'!$AD$48="Leve"),CONCATENATE("R9C",'Mapa final'!$R$48),"")</f>
        <v/>
      </c>
      <c r="M14" s="37" t="str">
        <f>IF(AND('Mapa final'!$AB$49="Muy Alta",'Mapa final'!$AD$49="Leve"),CONCATENATE("R9C",'Mapa final'!$R$49),"")</f>
        <v/>
      </c>
      <c r="N14" s="37" t="str">
        <f>IF(AND('Mapa final'!$AB$50="Muy Alta",'Mapa final'!$AD$50="Leve"),CONCATENATE("R9C",'Mapa final'!$R$50),"")</f>
        <v/>
      </c>
      <c r="O14" s="38" t="str">
        <f>IF(AND('Mapa final'!$AB$51="Muy Alta",'Mapa final'!$AD$51="Leve"),CONCATENATE("R9C",'Mapa final'!$R$51),"")</f>
        <v/>
      </c>
      <c r="P14" s="36" t="str">
        <f>IF(AND('Mapa final'!$AB$46="Muy Alta",'Mapa final'!$AD$46="Menor"),CONCATENATE("R9C",'Mapa final'!$R$46),"")</f>
        <v/>
      </c>
      <c r="Q14" s="37" t="str">
        <f>IF(AND('Mapa final'!$AB$47="Muy Alta",'Mapa final'!$AD$47="Menor"),CONCATENATE("R9C",'Mapa final'!$R$47),"")</f>
        <v/>
      </c>
      <c r="R14" s="37" t="str">
        <f>IF(AND('Mapa final'!$AB$48="Muy Alta",'Mapa final'!$AD$48="Menor"),CONCATENATE("R9C",'Mapa final'!$R$48),"")</f>
        <v/>
      </c>
      <c r="S14" s="37" t="str">
        <f>IF(AND('Mapa final'!$AB$49="Muy Alta",'Mapa final'!$AD$49="Menor"),CONCATENATE("R9C",'Mapa final'!$R$49),"")</f>
        <v/>
      </c>
      <c r="T14" s="37" t="str">
        <f>IF(AND('Mapa final'!$AB$50="Muy Alta",'Mapa final'!$AD$50="Menor"),CONCATENATE("R9C",'Mapa final'!$R$50),"")</f>
        <v/>
      </c>
      <c r="U14" s="38" t="str">
        <f>IF(AND('Mapa final'!$AB$51="Muy Alta",'Mapa final'!$AD$51="Menor"),CONCATENATE("R9C",'Mapa final'!$R$51),"")</f>
        <v/>
      </c>
      <c r="V14" s="36" t="str">
        <f>IF(AND('Mapa final'!$AB$46="Muy Alta",'Mapa final'!$AD$46="Moderado"),CONCATENATE("R9C",'Mapa final'!$R$46),"")</f>
        <v/>
      </c>
      <c r="W14" s="37" t="str">
        <f>IF(AND('Mapa final'!$AB$47="Muy Alta",'Mapa final'!$AD$47="Moderado"),CONCATENATE("R9C",'Mapa final'!$R$47),"")</f>
        <v/>
      </c>
      <c r="X14" s="37" t="str">
        <f>IF(AND('Mapa final'!$AB$48="Muy Alta",'Mapa final'!$AD$48="Moderado"),CONCATENATE("R9C",'Mapa final'!$R$48),"")</f>
        <v/>
      </c>
      <c r="Y14" s="37" t="str">
        <f>IF(AND('Mapa final'!$AB$49="Muy Alta",'Mapa final'!$AD$49="Moderado"),CONCATENATE("R9C",'Mapa final'!$R$49),"")</f>
        <v/>
      </c>
      <c r="Z14" s="37" t="str">
        <f>IF(AND('Mapa final'!$AB$50="Muy Alta",'Mapa final'!$AD$50="Moderado"),CONCATENATE("R9C",'Mapa final'!$R$50),"")</f>
        <v/>
      </c>
      <c r="AA14" s="38" t="str">
        <f>IF(AND('Mapa final'!$AB$51="Muy Alta",'Mapa final'!$AD$51="Moderado"),CONCATENATE("R9C",'Mapa final'!$R$51),"")</f>
        <v/>
      </c>
      <c r="AB14" s="36" t="str">
        <f>IF(AND('Mapa final'!$AB$46="Muy Alta",'Mapa final'!$AD$46="Mayor"),CONCATENATE("R9C",'Mapa final'!$R$46),"")</f>
        <v/>
      </c>
      <c r="AC14" s="37" t="str">
        <f>IF(AND('Mapa final'!$AB$47="Muy Alta",'Mapa final'!$AD$47="Mayor"),CONCATENATE("R9C",'Mapa final'!$R$47),"")</f>
        <v/>
      </c>
      <c r="AD14" s="37" t="str">
        <f>IF(AND('Mapa final'!$AB$48="Muy Alta",'Mapa final'!$AD$48="Mayor"),CONCATENATE("R9C",'Mapa final'!$R$48),"")</f>
        <v/>
      </c>
      <c r="AE14" s="37" t="str">
        <f>IF(AND('Mapa final'!$AB$49="Muy Alta",'Mapa final'!$AD$49="Mayor"),CONCATENATE("R9C",'Mapa final'!$R$49),"")</f>
        <v/>
      </c>
      <c r="AF14" s="37" t="str">
        <f>IF(AND('Mapa final'!$AB$50="Muy Alta",'Mapa final'!$AD$50="Mayor"),CONCATENATE("R9C",'Mapa final'!$R$50),"")</f>
        <v/>
      </c>
      <c r="AG14" s="38" t="str">
        <f>IF(AND('Mapa final'!$AB$51="Muy Alta",'Mapa final'!$AD$51="Mayor"),CONCATENATE("R9C",'Mapa final'!$R$51),"")</f>
        <v/>
      </c>
      <c r="AH14" s="39" t="str">
        <f>IF(AND('Mapa final'!$AB$46="Muy Alta",'Mapa final'!$AD$46="Catastrófico"),CONCATENATE("R9C",'Mapa final'!$R$46),"")</f>
        <v/>
      </c>
      <c r="AI14" s="40" t="str">
        <f>IF(AND('Mapa final'!$AB$47="Muy Alta",'Mapa final'!$AD$47="Catastrófico"),CONCATENATE("R9C",'Mapa final'!$R$47),"")</f>
        <v/>
      </c>
      <c r="AJ14" s="40" t="str">
        <f>IF(AND('Mapa final'!$AB$48="Muy Alta",'Mapa final'!$AD$48="Catastrófico"),CONCATENATE("R9C",'Mapa final'!$R$48),"")</f>
        <v/>
      </c>
      <c r="AK14" s="40" t="str">
        <f>IF(AND('Mapa final'!$AB$49="Muy Alta",'Mapa final'!$AD$49="Catastrófico"),CONCATENATE("R9C",'Mapa final'!$R$49),"")</f>
        <v/>
      </c>
      <c r="AL14" s="40" t="str">
        <f>IF(AND('Mapa final'!$AB$50="Muy Alta",'Mapa final'!$AD$50="Catastrófico"),CONCATENATE("R9C",'Mapa final'!$R$50),"")</f>
        <v/>
      </c>
      <c r="AM14" s="41" t="str">
        <f>IF(AND('Mapa final'!$AB$51="Muy Alta",'Mapa final'!$AD$51="Catastrófico"),CONCATENATE("R9C",'Mapa final'!$R$51),"")</f>
        <v/>
      </c>
      <c r="AN14" s="67"/>
      <c r="AO14" s="593"/>
      <c r="AP14" s="594"/>
      <c r="AQ14" s="594"/>
      <c r="AR14" s="594"/>
      <c r="AS14" s="594"/>
      <c r="AT14" s="595"/>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row>
    <row r="15" spans="1:91" ht="15.75" customHeight="1" thickBot="1" x14ac:dyDescent="0.35">
      <c r="A15" s="67"/>
      <c r="B15" s="532"/>
      <c r="C15" s="532"/>
      <c r="D15" s="533"/>
      <c r="E15" s="576"/>
      <c r="F15" s="577"/>
      <c r="G15" s="577"/>
      <c r="H15" s="577"/>
      <c r="I15" s="578"/>
      <c r="J15" s="42" t="str">
        <f>IF(AND('Mapa final'!$AB$52="Muy Alta",'Mapa final'!$AD$52="Leve"),CONCATENATE("R10C",'Mapa final'!$R$52),"")</f>
        <v/>
      </c>
      <c r="K15" s="43" t="str">
        <f>IF(AND('Mapa final'!$AB$53="Muy Alta",'Mapa final'!$AD$53="Leve"),CONCATENATE("R10C",'Mapa final'!$R$53),"")</f>
        <v/>
      </c>
      <c r="L15" s="43" t="str">
        <f>IF(AND('Mapa final'!$AB$54="Muy Alta",'Mapa final'!$AD$54="Leve"),CONCATENATE("R10C",'Mapa final'!$R$54),"")</f>
        <v/>
      </c>
      <c r="M15" s="43" t="str">
        <f>IF(AND('Mapa final'!$AB$55="Muy Alta",'Mapa final'!$AD$55="Leve"),CONCATENATE("R10C",'Mapa final'!$R$55),"")</f>
        <v/>
      </c>
      <c r="N15" s="43" t="str">
        <f>IF(AND('Mapa final'!$AB$56="Muy Alta",'Mapa final'!$AD$56="Leve"),CONCATENATE("R10C",'Mapa final'!$R$56),"")</f>
        <v/>
      </c>
      <c r="O15" s="44" t="str">
        <f>IF(AND('Mapa final'!$AB$57="Muy Alta",'Mapa final'!$AD$57="Leve"),CONCATENATE("R10C",'Mapa final'!$R$57),"")</f>
        <v/>
      </c>
      <c r="P15" s="36" t="str">
        <f>IF(AND('Mapa final'!$AB$52="Muy Alta",'Mapa final'!$AD$52="Menor"),CONCATENATE("R10C",'Mapa final'!$R$52),"")</f>
        <v/>
      </c>
      <c r="Q15" s="37" t="str">
        <f>IF(AND('Mapa final'!$AB$53="Muy Alta",'Mapa final'!$AD$53="Menor"),CONCATENATE("R10C",'Mapa final'!$R$53),"")</f>
        <v/>
      </c>
      <c r="R15" s="37" t="str">
        <f>IF(AND('Mapa final'!$AB$54="Muy Alta",'Mapa final'!$AD$54="Menor"),CONCATENATE("R10C",'Mapa final'!$R$54),"")</f>
        <v/>
      </c>
      <c r="S15" s="37" t="str">
        <f>IF(AND('Mapa final'!$AB$55="Muy Alta",'Mapa final'!$AD$55="Menor"),CONCATENATE("R10C",'Mapa final'!$R$55),"")</f>
        <v/>
      </c>
      <c r="T15" s="37" t="str">
        <f>IF(AND('Mapa final'!$AB$56="Muy Alta",'Mapa final'!$AD$56="Menor"),CONCATENATE("R10C",'Mapa final'!$R$56),"")</f>
        <v/>
      </c>
      <c r="U15" s="38" t="str">
        <f>IF(AND('Mapa final'!$AB$57="Muy Alta",'Mapa final'!$AD$57="Menor"),CONCATENATE("R10C",'Mapa final'!$R$57),"")</f>
        <v/>
      </c>
      <c r="V15" s="42" t="str">
        <f>IF(AND('Mapa final'!$AB$52="Muy Alta",'Mapa final'!$AD$52="Moderado"),CONCATENATE("R10C",'Mapa final'!$R$52),"")</f>
        <v/>
      </c>
      <c r="W15" s="43" t="str">
        <f>IF(AND('Mapa final'!$AB$53="Muy Alta",'Mapa final'!$AD$53="Moderado"),CONCATENATE("R10C",'Mapa final'!$R$53),"")</f>
        <v/>
      </c>
      <c r="X15" s="43" t="str">
        <f>IF(AND('Mapa final'!$AB$54="Muy Alta",'Mapa final'!$AD$54="Moderado"),CONCATENATE("R10C",'Mapa final'!$R$54),"")</f>
        <v/>
      </c>
      <c r="Y15" s="43" t="str">
        <f>IF(AND('Mapa final'!$AB$55="Muy Alta",'Mapa final'!$AD$55="Moderado"),CONCATENATE("R10C",'Mapa final'!$R$55),"")</f>
        <v/>
      </c>
      <c r="Z15" s="43" t="str">
        <f>IF(AND('Mapa final'!$AB$56="Muy Alta",'Mapa final'!$AD$56="Moderado"),CONCATENATE("R10C",'Mapa final'!$R$56),"")</f>
        <v/>
      </c>
      <c r="AA15" s="44" t="str">
        <f>IF(AND('Mapa final'!$AB$57="Muy Alta",'Mapa final'!$AD$57="Moderado"),CONCATENATE("R10C",'Mapa final'!$R$57),"")</f>
        <v/>
      </c>
      <c r="AB15" s="36" t="str">
        <f>IF(AND('Mapa final'!$AB$52="Muy Alta",'Mapa final'!$AD$52="Mayor"),CONCATENATE("R10C",'Mapa final'!$R$52),"")</f>
        <v/>
      </c>
      <c r="AC15" s="37" t="str">
        <f>IF(AND('Mapa final'!$AB$53="Muy Alta",'Mapa final'!$AD$53="Mayor"),CONCATENATE("R10C",'Mapa final'!$R$53),"")</f>
        <v/>
      </c>
      <c r="AD15" s="37" t="str">
        <f>IF(AND('Mapa final'!$AB$54="Muy Alta",'Mapa final'!$AD$54="Mayor"),CONCATENATE("R10C",'Mapa final'!$R$54),"")</f>
        <v/>
      </c>
      <c r="AE15" s="37" t="str">
        <f>IF(AND('Mapa final'!$AB$55="Muy Alta",'Mapa final'!$AD$55="Mayor"),CONCATENATE("R10C",'Mapa final'!$R$55),"")</f>
        <v/>
      </c>
      <c r="AF15" s="37" t="str">
        <f>IF(AND('Mapa final'!$AB$56="Muy Alta",'Mapa final'!$AD$56="Mayor"),CONCATENATE("R10C",'Mapa final'!$R$56),"")</f>
        <v/>
      </c>
      <c r="AG15" s="38" t="str">
        <f>IF(AND('Mapa final'!$AB$57="Muy Alta",'Mapa final'!$AD$57="Mayor"),CONCATENATE("R10C",'Mapa final'!$R$57),"")</f>
        <v/>
      </c>
      <c r="AH15" s="45" t="str">
        <f>IF(AND('Mapa final'!$AB$52="Muy Alta",'Mapa final'!$AD$52="Catastrófico"),CONCATENATE("R10C",'Mapa final'!$R$52),"")</f>
        <v/>
      </c>
      <c r="AI15" s="46" t="str">
        <f>IF(AND('Mapa final'!$AB$53="Muy Alta",'Mapa final'!$AD$53="Catastrófico"),CONCATENATE("R10C",'Mapa final'!$R$53),"")</f>
        <v/>
      </c>
      <c r="AJ15" s="46" t="str">
        <f>IF(AND('Mapa final'!$AB$54="Muy Alta",'Mapa final'!$AD$54="Catastrófico"),CONCATENATE("R10C",'Mapa final'!$R$54),"")</f>
        <v/>
      </c>
      <c r="AK15" s="46" t="str">
        <f>IF(AND('Mapa final'!$AB$55="Muy Alta",'Mapa final'!$AD$55="Catastrófico"),CONCATENATE("R10C",'Mapa final'!$R$55),"")</f>
        <v/>
      </c>
      <c r="AL15" s="46" t="str">
        <f>IF(AND('Mapa final'!$AB$56="Muy Alta",'Mapa final'!$AD$56="Catastrófico"),CONCATENATE("R10C",'Mapa final'!$R$56),"")</f>
        <v/>
      </c>
      <c r="AM15" s="47" t="str">
        <f>IF(AND('Mapa final'!$AB$57="Muy Alta",'Mapa final'!$AD$57="Catastrófico"),CONCATENATE("R10C",'Mapa final'!$R$57),"")</f>
        <v/>
      </c>
      <c r="AN15" s="67"/>
      <c r="AO15" s="596"/>
      <c r="AP15" s="597"/>
      <c r="AQ15" s="597"/>
      <c r="AR15" s="597"/>
      <c r="AS15" s="597"/>
      <c r="AT15" s="598"/>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row>
    <row r="16" spans="1:91" ht="15" customHeight="1" x14ac:dyDescent="0.3">
      <c r="A16" s="67"/>
      <c r="B16" s="532"/>
      <c r="C16" s="532"/>
      <c r="D16" s="533"/>
      <c r="E16" s="570" t="s">
        <v>110</v>
      </c>
      <c r="F16" s="571"/>
      <c r="G16" s="571"/>
      <c r="H16" s="571"/>
      <c r="I16" s="571"/>
      <c r="J16" s="48" t="str">
        <f>IF(AND('Mapa final'!$AB$10="Alta",'Mapa final'!$AD$10="Leve"),CONCATENATE("R1C",'Mapa final'!$R$10),"")</f>
        <v/>
      </c>
      <c r="K16" s="49" t="str">
        <f>IF(AND('Mapa final'!$AB$11="Alta",'Mapa final'!$AD$11="Leve"),CONCATENATE("R1C",'Mapa final'!$R$11),"")</f>
        <v/>
      </c>
      <c r="L16" s="49" t="e">
        <f>IF(AND('Mapa final'!#REF!="Alta",'Mapa final'!#REF!="Leve"),CONCATENATE("R1C",'Mapa final'!#REF!),"")</f>
        <v>#REF!</v>
      </c>
      <c r="M16" s="49" t="e">
        <f>IF(AND('Mapa final'!#REF!="Alta",'Mapa final'!#REF!="Leve"),CONCATENATE("R1C",'Mapa final'!#REF!),"")</f>
        <v>#REF!</v>
      </c>
      <c r="N16" s="49" t="e">
        <f>IF(AND('Mapa final'!#REF!="Alta",'Mapa final'!#REF!="Leve"),CONCATENATE("R1C",'Mapa final'!#REF!),"")</f>
        <v>#REF!</v>
      </c>
      <c r="O16" s="50" t="e">
        <f>IF(AND('Mapa final'!#REF!="Alta",'Mapa final'!#REF!="Leve"),CONCATENATE("R1C",'Mapa final'!#REF!),"")</f>
        <v>#REF!</v>
      </c>
      <c r="P16" s="48" t="str">
        <f>IF(AND('Mapa final'!$AB$10="Alta",'Mapa final'!$AD$10="Menor"),CONCATENATE("R1C",'Mapa final'!$R$10),"")</f>
        <v/>
      </c>
      <c r="Q16" s="49" t="str">
        <f>IF(AND('Mapa final'!$AB$11="Alta",'Mapa final'!$AD$11="Menor"),CONCATENATE("R1C",'Mapa final'!$R$11),"")</f>
        <v/>
      </c>
      <c r="R16" s="49" t="e">
        <f>IF(AND('Mapa final'!#REF!="Alta",'Mapa final'!#REF!="Menor"),CONCATENATE("R1C",'Mapa final'!#REF!),"")</f>
        <v>#REF!</v>
      </c>
      <c r="S16" s="49" t="e">
        <f>IF(AND('Mapa final'!#REF!="Alta",'Mapa final'!#REF!="Menor"),CONCATENATE("R1C",'Mapa final'!#REF!),"")</f>
        <v>#REF!</v>
      </c>
      <c r="T16" s="49" t="e">
        <f>IF(AND('Mapa final'!#REF!="Alta",'Mapa final'!#REF!="Menor"),CONCATENATE("R1C",'Mapa final'!#REF!),"")</f>
        <v>#REF!</v>
      </c>
      <c r="U16" s="50" t="e">
        <f>IF(AND('Mapa final'!#REF!="Alta",'Mapa final'!#REF!="Menor"),CONCATENATE("R1C",'Mapa final'!#REF!),"")</f>
        <v>#REF!</v>
      </c>
      <c r="V16" s="30" t="str">
        <f>IF(AND('Mapa final'!$AB$10="Alta",'Mapa final'!$AD$10="Moderado"),CONCATENATE("R1C",'Mapa final'!$R$10),"")</f>
        <v/>
      </c>
      <c r="W16" s="31" t="str">
        <f>IF(AND('Mapa final'!$AB$11="Alta",'Mapa final'!$AD$11="Moderado"),CONCATENATE("R1C",'Mapa final'!$R$11),"")</f>
        <v/>
      </c>
      <c r="X16" s="31" t="e">
        <f>IF(AND('Mapa final'!#REF!="Alta",'Mapa final'!#REF!="Moderado"),CONCATENATE("R1C",'Mapa final'!#REF!),"")</f>
        <v>#REF!</v>
      </c>
      <c r="Y16" s="31" t="e">
        <f>IF(AND('Mapa final'!#REF!="Alta",'Mapa final'!#REF!="Moderado"),CONCATENATE("R1C",'Mapa final'!#REF!),"")</f>
        <v>#REF!</v>
      </c>
      <c r="Z16" s="31" t="e">
        <f>IF(AND('Mapa final'!#REF!="Alta",'Mapa final'!#REF!="Moderado"),CONCATENATE("R1C",'Mapa final'!#REF!),"")</f>
        <v>#REF!</v>
      </c>
      <c r="AA16" s="32" t="e">
        <f>IF(AND('Mapa final'!#REF!="Alta",'Mapa final'!#REF!="Moderado"),CONCATENATE("R1C",'Mapa final'!#REF!),"")</f>
        <v>#REF!</v>
      </c>
      <c r="AB16" s="30" t="str">
        <f>IF(AND('Mapa final'!$AB$10="Alta",'Mapa final'!$AD$10="Mayor"),CONCATENATE("R1C",'Mapa final'!$R$10),"")</f>
        <v/>
      </c>
      <c r="AC16" s="31" t="str">
        <f>IF(AND('Mapa final'!$AB$11="Alta",'Mapa final'!$AD$11="Mayor"),CONCATENATE("R1C",'Mapa final'!$R$11),"")</f>
        <v/>
      </c>
      <c r="AD16" s="31" t="e">
        <f>IF(AND('Mapa final'!#REF!="Alta",'Mapa final'!#REF!="Mayor"),CONCATENATE("R1C",'Mapa final'!#REF!),"")</f>
        <v>#REF!</v>
      </c>
      <c r="AE16" s="31" t="e">
        <f>IF(AND('Mapa final'!#REF!="Alta",'Mapa final'!#REF!="Mayor"),CONCATENATE("R1C",'Mapa final'!#REF!),"")</f>
        <v>#REF!</v>
      </c>
      <c r="AF16" s="31" t="e">
        <f>IF(AND('Mapa final'!#REF!="Alta",'Mapa final'!#REF!="Mayor"),CONCATENATE("R1C",'Mapa final'!#REF!),"")</f>
        <v>#REF!</v>
      </c>
      <c r="AG16" s="32" t="e">
        <f>IF(AND('Mapa final'!#REF!="Alta",'Mapa final'!#REF!="Mayor"),CONCATENATE("R1C",'Mapa final'!#REF!),"")</f>
        <v>#REF!</v>
      </c>
      <c r="AH16" s="33" t="str">
        <f>IF(AND('Mapa final'!$AB$10="Alta",'Mapa final'!$AD$10="Catastrófico"),CONCATENATE("R1C",'Mapa final'!$R$10),"")</f>
        <v/>
      </c>
      <c r="AI16" s="34" t="str">
        <f>IF(AND('Mapa final'!$AB$11="Alta",'Mapa final'!$AD$11="Catastrófico"),CONCATENATE("R1C",'Mapa final'!$R$11),"")</f>
        <v/>
      </c>
      <c r="AJ16" s="34" t="e">
        <f>IF(AND('Mapa final'!#REF!="Alta",'Mapa final'!#REF!="Catastrófico"),CONCATENATE("R1C",'Mapa final'!#REF!),"")</f>
        <v>#REF!</v>
      </c>
      <c r="AK16" s="34" t="e">
        <f>IF(AND('Mapa final'!#REF!="Alta",'Mapa final'!#REF!="Catastrófico"),CONCATENATE("R1C",'Mapa final'!#REF!),"")</f>
        <v>#REF!</v>
      </c>
      <c r="AL16" s="34" t="e">
        <f>IF(AND('Mapa final'!#REF!="Alta",'Mapa final'!#REF!="Catastrófico"),CONCATENATE("R1C",'Mapa final'!#REF!),"")</f>
        <v>#REF!</v>
      </c>
      <c r="AM16" s="35" t="e">
        <f>IF(AND('Mapa final'!#REF!="Alta",'Mapa final'!#REF!="Catastrófico"),CONCATENATE("R1C",'Mapa final'!#REF!),"")</f>
        <v>#REF!</v>
      </c>
      <c r="AN16" s="67"/>
      <c r="AO16" s="580" t="s">
        <v>79</v>
      </c>
      <c r="AP16" s="581"/>
      <c r="AQ16" s="581"/>
      <c r="AR16" s="581"/>
      <c r="AS16" s="581"/>
      <c r="AT16" s="582"/>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row>
    <row r="17" spans="1:76" ht="15" customHeight="1" x14ac:dyDescent="0.3">
      <c r="A17" s="67"/>
      <c r="B17" s="532"/>
      <c r="C17" s="532"/>
      <c r="D17" s="533"/>
      <c r="E17" s="589"/>
      <c r="F17" s="574"/>
      <c r="G17" s="574"/>
      <c r="H17" s="574"/>
      <c r="I17" s="574"/>
      <c r="J17" s="51" t="str">
        <f>IF(AND('Mapa final'!$AB$12="Alta",'Mapa final'!$AD$12="Leve"),CONCATENATE("R2C",'Mapa final'!$R$12),"")</f>
        <v/>
      </c>
      <c r="K17" s="52" t="str">
        <f>IF(AND('Mapa final'!$AB$13="Alta",'Mapa final'!$AD$13="Leve"),CONCATENATE("R2C",'Mapa final'!$R$13),"")</f>
        <v/>
      </c>
      <c r="L17" s="52" t="e">
        <f>IF(AND('Mapa final'!#REF!="Alta",'Mapa final'!#REF!="Leve"),CONCATENATE("R2C",'Mapa final'!#REF!),"")</f>
        <v>#REF!</v>
      </c>
      <c r="M17" s="52" t="e">
        <f>IF(AND('Mapa final'!#REF!="Alta",'Mapa final'!#REF!="Leve"),CONCATENATE("R2C",'Mapa final'!#REF!),"")</f>
        <v>#REF!</v>
      </c>
      <c r="N17" s="52" t="e">
        <f>IF(AND('Mapa final'!#REF!="Alta",'Mapa final'!#REF!="Leve"),CONCATENATE("R2C",'Mapa final'!#REF!),"")</f>
        <v>#REF!</v>
      </c>
      <c r="O17" s="53" t="e">
        <f>IF(AND('Mapa final'!#REF!="Alta",'Mapa final'!#REF!="Leve"),CONCATENATE("R2C",'Mapa final'!#REF!),"")</f>
        <v>#REF!</v>
      </c>
      <c r="P17" s="51" t="str">
        <f>IF(AND('Mapa final'!$AB$12="Alta",'Mapa final'!$AD$12="Menor"),CONCATENATE("R2C",'Mapa final'!$R$12),"")</f>
        <v/>
      </c>
      <c r="Q17" s="52" t="str">
        <f>IF(AND('Mapa final'!$AB$13="Alta",'Mapa final'!$AD$13="Menor"),CONCATENATE("R2C",'Mapa final'!$R$13),"")</f>
        <v/>
      </c>
      <c r="R17" s="52" t="e">
        <f>IF(AND('Mapa final'!#REF!="Alta",'Mapa final'!#REF!="Menor"),CONCATENATE("R2C",'Mapa final'!#REF!),"")</f>
        <v>#REF!</v>
      </c>
      <c r="S17" s="52" t="e">
        <f>IF(AND('Mapa final'!#REF!="Alta",'Mapa final'!#REF!="Menor"),CONCATENATE("R2C",'Mapa final'!#REF!),"")</f>
        <v>#REF!</v>
      </c>
      <c r="T17" s="52" t="e">
        <f>IF(AND('Mapa final'!#REF!="Alta",'Mapa final'!#REF!="Menor"),CONCATENATE("R2C",'Mapa final'!#REF!),"")</f>
        <v>#REF!</v>
      </c>
      <c r="U17" s="53" t="e">
        <f>IF(AND('Mapa final'!#REF!="Alta",'Mapa final'!#REF!="Menor"),CONCATENATE("R2C",'Mapa final'!#REF!),"")</f>
        <v>#REF!</v>
      </c>
      <c r="V17" s="36" t="str">
        <f>IF(AND('Mapa final'!$AB$12="Alta",'Mapa final'!$AD$12="Moderado"),CONCATENATE("R2C",'Mapa final'!$R$12),"")</f>
        <v/>
      </c>
      <c r="W17" s="37" t="str">
        <f>IF(AND('Mapa final'!$AB$13="Alta",'Mapa final'!$AD$13="Moderado"),CONCATENATE("R2C",'Mapa final'!$R$13),"")</f>
        <v/>
      </c>
      <c r="X17" s="37" t="e">
        <f>IF(AND('Mapa final'!#REF!="Alta",'Mapa final'!#REF!="Moderado"),CONCATENATE("R2C",'Mapa final'!#REF!),"")</f>
        <v>#REF!</v>
      </c>
      <c r="Y17" s="37" t="e">
        <f>IF(AND('Mapa final'!#REF!="Alta",'Mapa final'!#REF!="Moderado"),CONCATENATE("R2C",'Mapa final'!#REF!),"")</f>
        <v>#REF!</v>
      </c>
      <c r="Z17" s="37" t="e">
        <f>IF(AND('Mapa final'!#REF!="Alta",'Mapa final'!#REF!="Moderado"),CONCATENATE("R2C",'Mapa final'!#REF!),"")</f>
        <v>#REF!</v>
      </c>
      <c r="AA17" s="38" t="e">
        <f>IF(AND('Mapa final'!#REF!="Alta",'Mapa final'!#REF!="Moderado"),CONCATENATE("R2C",'Mapa final'!#REF!),"")</f>
        <v>#REF!</v>
      </c>
      <c r="AB17" s="36" t="str">
        <f>IF(AND('Mapa final'!$AB$12="Alta",'Mapa final'!$AD$12="Mayor"),CONCATENATE("R2C",'Mapa final'!$R$12),"")</f>
        <v/>
      </c>
      <c r="AC17" s="37" t="str">
        <f>IF(AND('Mapa final'!$AB$13="Alta",'Mapa final'!$AD$13="Mayor"),CONCATENATE("R2C",'Mapa final'!$R$13),"")</f>
        <v/>
      </c>
      <c r="AD17" s="37" t="e">
        <f>IF(AND('Mapa final'!#REF!="Alta",'Mapa final'!#REF!="Mayor"),CONCATENATE("R2C",'Mapa final'!#REF!),"")</f>
        <v>#REF!</v>
      </c>
      <c r="AE17" s="37" t="e">
        <f>IF(AND('Mapa final'!#REF!="Alta",'Mapa final'!#REF!="Mayor"),CONCATENATE("R2C",'Mapa final'!#REF!),"")</f>
        <v>#REF!</v>
      </c>
      <c r="AF17" s="37" t="e">
        <f>IF(AND('Mapa final'!#REF!="Alta",'Mapa final'!#REF!="Mayor"),CONCATENATE("R2C",'Mapa final'!#REF!),"")</f>
        <v>#REF!</v>
      </c>
      <c r="AG17" s="38" t="e">
        <f>IF(AND('Mapa final'!#REF!="Alta",'Mapa final'!#REF!="Mayor"),CONCATENATE("R2C",'Mapa final'!#REF!),"")</f>
        <v>#REF!</v>
      </c>
      <c r="AH17" s="39" t="str">
        <f>IF(AND('Mapa final'!$AB$12="Alta",'Mapa final'!$AD$12="Catastrófico"),CONCATENATE("R2C",'Mapa final'!$R$12),"")</f>
        <v/>
      </c>
      <c r="AI17" s="40" t="str">
        <f>IF(AND('Mapa final'!$AB$13="Alta",'Mapa final'!$AD$13="Catastrófico"),CONCATENATE("R2C",'Mapa final'!$R$13),"")</f>
        <v/>
      </c>
      <c r="AJ17" s="40" t="e">
        <f>IF(AND('Mapa final'!#REF!="Alta",'Mapa final'!#REF!="Catastrófico"),CONCATENATE("R2C",'Mapa final'!#REF!),"")</f>
        <v>#REF!</v>
      </c>
      <c r="AK17" s="40" t="e">
        <f>IF(AND('Mapa final'!#REF!="Alta",'Mapa final'!#REF!="Catastrófico"),CONCATENATE("R2C",'Mapa final'!#REF!),"")</f>
        <v>#REF!</v>
      </c>
      <c r="AL17" s="40" t="e">
        <f>IF(AND('Mapa final'!#REF!="Alta",'Mapa final'!#REF!="Catastrófico"),CONCATENATE("R2C",'Mapa final'!#REF!),"")</f>
        <v>#REF!</v>
      </c>
      <c r="AM17" s="41" t="e">
        <f>IF(AND('Mapa final'!#REF!="Alta",'Mapa final'!#REF!="Catastrófico"),CONCATENATE("R2C",'Mapa final'!#REF!),"")</f>
        <v>#REF!</v>
      </c>
      <c r="AN17" s="67"/>
      <c r="AO17" s="583"/>
      <c r="AP17" s="584"/>
      <c r="AQ17" s="584"/>
      <c r="AR17" s="584"/>
      <c r="AS17" s="584"/>
      <c r="AT17" s="585"/>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row>
    <row r="18" spans="1:76" ht="15" customHeight="1" x14ac:dyDescent="0.3">
      <c r="A18" s="67"/>
      <c r="B18" s="532"/>
      <c r="C18" s="532"/>
      <c r="D18" s="533"/>
      <c r="E18" s="573"/>
      <c r="F18" s="574"/>
      <c r="G18" s="574"/>
      <c r="H18" s="574"/>
      <c r="I18" s="574"/>
      <c r="J18" s="51" t="str">
        <f>IF(AND('Mapa final'!$AB$14="Alta",'Mapa final'!$AD$14="Leve"),CONCATENATE("R3C",'Mapa final'!$R$14),"")</f>
        <v/>
      </c>
      <c r="K18" s="52" t="str">
        <f>IF(AND('Mapa final'!$AB$15="Alta",'Mapa final'!$AD$15="Leve"),CONCATENATE("R3C",'Mapa final'!$R$15),"")</f>
        <v/>
      </c>
      <c r="L18" s="52" t="e">
        <f>IF(AND('Mapa final'!#REF!="Alta",'Mapa final'!#REF!="Leve"),CONCATENATE("R3C",'Mapa final'!#REF!),"")</f>
        <v>#REF!</v>
      </c>
      <c r="M18" s="52" t="e">
        <f>IF(AND('Mapa final'!#REF!="Alta",'Mapa final'!#REF!="Leve"),CONCATENATE("R3C",'Mapa final'!#REF!),"")</f>
        <v>#REF!</v>
      </c>
      <c r="N18" s="52" t="e">
        <f>IF(AND('Mapa final'!#REF!="Alta",'Mapa final'!#REF!="Leve"),CONCATENATE("R3C",'Mapa final'!#REF!),"")</f>
        <v>#REF!</v>
      </c>
      <c r="O18" s="53" t="e">
        <f>IF(AND('Mapa final'!#REF!="Alta",'Mapa final'!#REF!="Leve"),CONCATENATE("R3C",'Mapa final'!#REF!),"")</f>
        <v>#REF!</v>
      </c>
      <c r="P18" s="51" t="str">
        <f>IF(AND('Mapa final'!$AB$14="Alta",'Mapa final'!$AD$14="Menor"),CONCATENATE("R3C",'Mapa final'!$R$14),"")</f>
        <v/>
      </c>
      <c r="Q18" s="52" t="str">
        <f>IF(AND('Mapa final'!$AB$15="Alta",'Mapa final'!$AD$15="Menor"),CONCATENATE("R3C",'Mapa final'!$R$15),"")</f>
        <v/>
      </c>
      <c r="R18" s="52" t="e">
        <f>IF(AND('Mapa final'!#REF!="Alta",'Mapa final'!#REF!="Menor"),CONCATENATE("R3C",'Mapa final'!#REF!),"")</f>
        <v>#REF!</v>
      </c>
      <c r="S18" s="52" t="e">
        <f>IF(AND('Mapa final'!#REF!="Alta",'Mapa final'!#REF!="Menor"),CONCATENATE("R3C",'Mapa final'!#REF!),"")</f>
        <v>#REF!</v>
      </c>
      <c r="T18" s="52" t="e">
        <f>IF(AND('Mapa final'!#REF!="Alta",'Mapa final'!#REF!="Menor"),CONCATENATE("R3C",'Mapa final'!#REF!),"")</f>
        <v>#REF!</v>
      </c>
      <c r="U18" s="53" t="e">
        <f>IF(AND('Mapa final'!#REF!="Alta",'Mapa final'!#REF!="Menor"),CONCATENATE("R3C",'Mapa final'!#REF!),"")</f>
        <v>#REF!</v>
      </c>
      <c r="V18" s="36" t="str">
        <f>IF(AND('Mapa final'!$AB$14="Alta",'Mapa final'!$AD$14="Moderado"),CONCATENATE("R3C",'Mapa final'!$R$14),"")</f>
        <v/>
      </c>
      <c r="W18" s="37" t="str">
        <f>IF(AND('Mapa final'!$AB$15="Alta",'Mapa final'!$AD$15="Moderado"),CONCATENATE("R3C",'Mapa final'!$R$15),"")</f>
        <v/>
      </c>
      <c r="X18" s="37" t="e">
        <f>IF(AND('Mapa final'!#REF!="Alta",'Mapa final'!#REF!="Moderado"),CONCATENATE("R3C",'Mapa final'!#REF!),"")</f>
        <v>#REF!</v>
      </c>
      <c r="Y18" s="37" t="e">
        <f>IF(AND('Mapa final'!#REF!="Alta",'Mapa final'!#REF!="Moderado"),CONCATENATE("R3C",'Mapa final'!#REF!),"")</f>
        <v>#REF!</v>
      </c>
      <c r="Z18" s="37" t="e">
        <f>IF(AND('Mapa final'!#REF!="Alta",'Mapa final'!#REF!="Moderado"),CONCATENATE("R3C",'Mapa final'!#REF!),"")</f>
        <v>#REF!</v>
      </c>
      <c r="AA18" s="38" t="e">
        <f>IF(AND('Mapa final'!#REF!="Alta",'Mapa final'!#REF!="Moderado"),CONCATENATE("R3C",'Mapa final'!#REF!),"")</f>
        <v>#REF!</v>
      </c>
      <c r="AB18" s="36" t="str">
        <f>IF(AND('Mapa final'!$AB$14="Alta",'Mapa final'!$AD$14="Mayor"),CONCATENATE("R3C",'Mapa final'!$R$14),"")</f>
        <v/>
      </c>
      <c r="AC18" s="37" t="str">
        <f>IF(AND('Mapa final'!$AB$15="Alta",'Mapa final'!$AD$15="Mayor"),CONCATENATE("R3C",'Mapa final'!$R$15),"")</f>
        <v/>
      </c>
      <c r="AD18" s="37" t="e">
        <f>IF(AND('Mapa final'!#REF!="Alta",'Mapa final'!#REF!="Mayor"),CONCATENATE("R3C",'Mapa final'!#REF!),"")</f>
        <v>#REF!</v>
      </c>
      <c r="AE18" s="37" t="e">
        <f>IF(AND('Mapa final'!#REF!="Alta",'Mapa final'!#REF!="Mayor"),CONCATENATE("R3C",'Mapa final'!#REF!),"")</f>
        <v>#REF!</v>
      </c>
      <c r="AF18" s="37" t="e">
        <f>IF(AND('Mapa final'!#REF!="Alta",'Mapa final'!#REF!="Mayor"),CONCATENATE("R3C",'Mapa final'!#REF!),"")</f>
        <v>#REF!</v>
      </c>
      <c r="AG18" s="38" t="e">
        <f>IF(AND('Mapa final'!#REF!="Alta",'Mapa final'!#REF!="Mayor"),CONCATENATE("R3C",'Mapa final'!#REF!),"")</f>
        <v>#REF!</v>
      </c>
      <c r="AH18" s="39" t="str">
        <f>IF(AND('Mapa final'!$AB$14="Alta",'Mapa final'!$AD$14="Catastrófico"),CONCATENATE("R3C",'Mapa final'!$R$14),"")</f>
        <v/>
      </c>
      <c r="AI18" s="40" t="str">
        <f>IF(AND('Mapa final'!$AB$15="Alta",'Mapa final'!$AD$15="Catastrófico"),CONCATENATE("R3C",'Mapa final'!$R$15),"")</f>
        <v/>
      </c>
      <c r="AJ18" s="40" t="e">
        <f>IF(AND('Mapa final'!#REF!="Alta",'Mapa final'!#REF!="Catastrófico"),CONCATENATE("R3C",'Mapa final'!#REF!),"")</f>
        <v>#REF!</v>
      </c>
      <c r="AK18" s="40" t="e">
        <f>IF(AND('Mapa final'!#REF!="Alta",'Mapa final'!#REF!="Catastrófico"),CONCATENATE("R3C",'Mapa final'!#REF!),"")</f>
        <v>#REF!</v>
      </c>
      <c r="AL18" s="40" t="e">
        <f>IF(AND('Mapa final'!#REF!="Alta",'Mapa final'!#REF!="Catastrófico"),CONCATENATE("R3C",'Mapa final'!#REF!),"")</f>
        <v>#REF!</v>
      </c>
      <c r="AM18" s="41" t="e">
        <f>IF(AND('Mapa final'!#REF!="Alta",'Mapa final'!#REF!="Catastrófico"),CONCATENATE("R3C",'Mapa final'!#REF!),"")</f>
        <v>#REF!</v>
      </c>
      <c r="AN18" s="67"/>
      <c r="AO18" s="583"/>
      <c r="AP18" s="584"/>
      <c r="AQ18" s="584"/>
      <c r="AR18" s="584"/>
      <c r="AS18" s="584"/>
      <c r="AT18" s="585"/>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row>
    <row r="19" spans="1:76" ht="15" customHeight="1" x14ac:dyDescent="0.3">
      <c r="A19" s="67"/>
      <c r="B19" s="532"/>
      <c r="C19" s="532"/>
      <c r="D19" s="533"/>
      <c r="E19" s="573"/>
      <c r="F19" s="574"/>
      <c r="G19" s="574"/>
      <c r="H19" s="574"/>
      <c r="I19" s="574"/>
      <c r="J19" s="51" t="str">
        <f>IF(AND('Mapa final'!$AB$16="Alta",'Mapa final'!$AD$16="Leve"),CONCATENATE("R4C",'Mapa final'!$R$16),"")</f>
        <v/>
      </c>
      <c r="K19" s="52" t="str">
        <f>IF(AND('Mapa final'!$AB$17="Alta",'Mapa final'!$AD$17="Leve"),CONCATENATE("R4C",'Mapa final'!$R$17),"")</f>
        <v/>
      </c>
      <c r="L19" s="52" t="str">
        <f>IF(AND('Mapa final'!$AB$18="Alta",'Mapa final'!$AD$18="Leve"),CONCATENATE("R4C",'Mapa final'!$R$18),"")</f>
        <v/>
      </c>
      <c r="M19" s="52" t="str">
        <f>IF(AND('Mapa final'!$AB$19="Alta",'Mapa final'!$AD$19="Leve"),CONCATENATE("R4C",'Mapa final'!$R$19),"")</f>
        <v/>
      </c>
      <c r="N19" s="52" t="str">
        <f>IF(AND('Mapa final'!$AB$20="Alta",'Mapa final'!$AD$20="Leve"),CONCATENATE("R4C",'Mapa final'!$R$20),"")</f>
        <v/>
      </c>
      <c r="O19" s="53" t="str">
        <f>IF(AND('Mapa final'!$AB$21="Alta",'Mapa final'!$AD$21="Leve"),CONCATENATE("R4C",'Mapa final'!$R$21),"")</f>
        <v/>
      </c>
      <c r="P19" s="51" t="str">
        <f>IF(AND('Mapa final'!$AB$16="Alta",'Mapa final'!$AD$16="Menor"),CONCATENATE("R4C",'Mapa final'!$R$16),"")</f>
        <v/>
      </c>
      <c r="Q19" s="52" t="str">
        <f>IF(AND('Mapa final'!$AB$17="Alta",'Mapa final'!$AD$17="Menor"),CONCATENATE("R4C",'Mapa final'!$R$17),"")</f>
        <v/>
      </c>
      <c r="R19" s="52" t="str">
        <f>IF(AND('Mapa final'!$AB$18="Alta",'Mapa final'!$AD$18="Menor"),CONCATENATE("R4C",'Mapa final'!$R$18),"")</f>
        <v/>
      </c>
      <c r="S19" s="52" t="str">
        <f>IF(AND('Mapa final'!$AB$19="Alta",'Mapa final'!$AD$19="Menor"),CONCATENATE("R4C",'Mapa final'!$R$19),"")</f>
        <v/>
      </c>
      <c r="T19" s="52" t="str">
        <f>IF(AND('Mapa final'!$AB$20="Alta",'Mapa final'!$AD$20="Menor"),CONCATENATE("R4C",'Mapa final'!$R$20),"")</f>
        <v/>
      </c>
      <c r="U19" s="53" t="str">
        <f>IF(AND('Mapa final'!$AB$21="Alta",'Mapa final'!$AD$21="Menor"),CONCATENATE("R4C",'Mapa final'!$R$21),"")</f>
        <v/>
      </c>
      <c r="V19" s="36" t="str">
        <f>IF(AND('Mapa final'!$AB$16="Alta",'Mapa final'!$AD$16="Moderado"),CONCATENATE("R4C",'Mapa final'!$R$16),"")</f>
        <v/>
      </c>
      <c r="W19" s="37" t="str">
        <f>IF(AND('Mapa final'!$AB$17="Alta",'Mapa final'!$AD$17="Moderado"),CONCATENATE("R4C",'Mapa final'!$R$17),"")</f>
        <v/>
      </c>
      <c r="X19" s="37" t="str">
        <f>IF(AND('Mapa final'!$AB$18="Alta",'Mapa final'!$AD$18="Moderado"),CONCATENATE("R4C",'Mapa final'!$R$18),"")</f>
        <v/>
      </c>
      <c r="Y19" s="37" t="str">
        <f>IF(AND('Mapa final'!$AB$19="Alta",'Mapa final'!$AD$19="Moderado"),CONCATENATE("R4C",'Mapa final'!$R$19),"")</f>
        <v/>
      </c>
      <c r="Z19" s="37" t="str">
        <f>IF(AND('Mapa final'!$AB$20="Alta",'Mapa final'!$AD$20="Moderado"),CONCATENATE("R4C",'Mapa final'!$R$20),"")</f>
        <v/>
      </c>
      <c r="AA19" s="38" t="str">
        <f>IF(AND('Mapa final'!$AB$21="Alta",'Mapa final'!$AD$21="Moderado"),CONCATENATE("R4C",'Mapa final'!$R$21),"")</f>
        <v/>
      </c>
      <c r="AB19" s="36" t="str">
        <f>IF(AND('Mapa final'!$AB$16="Alta",'Mapa final'!$AD$16="Mayor"),CONCATENATE("R4C",'Mapa final'!$R$16),"")</f>
        <v/>
      </c>
      <c r="AC19" s="37" t="str">
        <f>IF(AND('Mapa final'!$AB$17="Alta",'Mapa final'!$AD$17="Mayor"),CONCATENATE("R4C",'Mapa final'!$R$17),"")</f>
        <v/>
      </c>
      <c r="AD19" s="37" t="str">
        <f>IF(AND('Mapa final'!$AB$18="Alta",'Mapa final'!$AD$18="Mayor"),CONCATENATE("R4C",'Mapa final'!$R$18),"")</f>
        <v/>
      </c>
      <c r="AE19" s="37" t="str">
        <f>IF(AND('Mapa final'!$AB$19="Alta",'Mapa final'!$AD$19="Mayor"),CONCATENATE("R4C",'Mapa final'!$R$19),"")</f>
        <v/>
      </c>
      <c r="AF19" s="37" t="str">
        <f>IF(AND('Mapa final'!$AB$20="Alta",'Mapa final'!$AD$20="Mayor"),CONCATENATE("R4C",'Mapa final'!$R$20),"")</f>
        <v/>
      </c>
      <c r="AG19" s="38" t="str">
        <f>IF(AND('Mapa final'!$AB$21="Alta",'Mapa final'!$AD$21="Mayor"),CONCATENATE("R4C",'Mapa final'!$R$21),"")</f>
        <v/>
      </c>
      <c r="AH19" s="39" t="str">
        <f>IF(AND('Mapa final'!$AB$16="Alta",'Mapa final'!$AD$16="Catastrófico"),CONCATENATE("R4C",'Mapa final'!$R$16),"")</f>
        <v/>
      </c>
      <c r="AI19" s="40" t="str">
        <f>IF(AND('Mapa final'!$AB$17="Alta",'Mapa final'!$AD$17="Catastrófico"),CONCATENATE("R4C",'Mapa final'!$R$17),"")</f>
        <v/>
      </c>
      <c r="AJ19" s="40" t="str">
        <f>IF(AND('Mapa final'!$AB$18="Alta",'Mapa final'!$AD$18="Catastrófico"),CONCATENATE("R4C",'Mapa final'!$R$18),"")</f>
        <v/>
      </c>
      <c r="AK19" s="40" t="str">
        <f>IF(AND('Mapa final'!$AB$19="Alta",'Mapa final'!$AD$19="Catastrófico"),CONCATENATE("R4C",'Mapa final'!$R$19),"")</f>
        <v/>
      </c>
      <c r="AL19" s="40" t="str">
        <f>IF(AND('Mapa final'!$AB$20="Alta",'Mapa final'!$AD$20="Catastrófico"),CONCATENATE("R4C",'Mapa final'!$R$20),"")</f>
        <v/>
      </c>
      <c r="AM19" s="41" t="str">
        <f>IF(AND('Mapa final'!$AB$21="Alta",'Mapa final'!$AD$21="Catastrófico"),CONCATENATE("R4C",'Mapa final'!$R$21),"")</f>
        <v/>
      </c>
      <c r="AN19" s="67"/>
      <c r="AO19" s="583"/>
      <c r="AP19" s="584"/>
      <c r="AQ19" s="584"/>
      <c r="AR19" s="584"/>
      <c r="AS19" s="584"/>
      <c r="AT19" s="585"/>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row>
    <row r="20" spans="1:76" ht="15" customHeight="1" x14ac:dyDescent="0.3">
      <c r="A20" s="67"/>
      <c r="B20" s="532"/>
      <c r="C20" s="532"/>
      <c r="D20" s="533"/>
      <c r="E20" s="573"/>
      <c r="F20" s="574"/>
      <c r="G20" s="574"/>
      <c r="H20" s="574"/>
      <c r="I20" s="574"/>
      <c r="J20" s="51" t="str">
        <f>IF(AND('Mapa final'!$AB$22="Alta",'Mapa final'!$AD$22="Leve"),CONCATENATE("R5C",'Mapa final'!$R$22),"")</f>
        <v/>
      </c>
      <c r="K20" s="52" t="str">
        <f>IF(AND('Mapa final'!$AB$23="Alta",'Mapa final'!$AD$23="Leve"),CONCATENATE("R5C",'Mapa final'!$R$23),"")</f>
        <v/>
      </c>
      <c r="L20" s="52" t="str">
        <f>IF(AND('Mapa final'!$AB$24="Alta",'Mapa final'!$AD$24="Leve"),CONCATENATE("R5C",'Mapa final'!$R$24),"")</f>
        <v/>
      </c>
      <c r="M20" s="52" t="str">
        <f>IF(AND('Mapa final'!$AB$25="Alta",'Mapa final'!$AD$25="Leve"),CONCATENATE("R5C",'Mapa final'!$R$25),"")</f>
        <v/>
      </c>
      <c r="N20" s="52" t="str">
        <f>IF(AND('Mapa final'!$AB$26="Alta",'Mapa final'!$AD$26="Leve"),CONCATENATE("R5C",'Mapa final'!$R$26),"")</f>
        <v/>
      </c>
      <c r="O20" s="53" t="str">
        <f>IF(AND('Mapa final'!$AB$27="Alta",'Mapa final'!$AD$27="Leve"),CONCATENATE("R5C",'Mapa final'!$R$27),"")</f>
        <v/>
      </c>
      <c r="P20" s="51" t="str">
        <f>IF(AND('Mapa final'!$AB$22="Alta",'Mapa final'!$AD$22="Menor"),CONCATENATE("R5C",'Mapa final'!$R$22),"")</f>
        <v/>
      </c>
      <c r="Q20" s="52" t="str">
        <f>IF(AND('Mapa final'!$AB$23="Alta",'Mapa final'!$AD$23="Menor"),CONCATENATE("R5C",'Mapa final'!$R$23),"")</f>
        <v/>
      </c>
      <c r="R20" s="52" t="str">
        <f>IF(AND('Mapa final'!$AB$24="Alta",'Mapa final'!$AD$24="Menor"),CONCATENATE("R5C",'Mapa final'!$R$24),"")</f>
        <v/>
      </c>
      <c r="S20" s="52" t="str">
        <f>IF(AND('Mapa final'!$AB$25="Alta",'Mapa final'!$AD$25="Menor"),CONCATENATE("R5C",'Mapa final'!$R$25),"")</f>
        <v/>
      </c>
      <c r="T20" s="52" t="str">
        <f>IF(AND('Mapa final'!$AB$26="Alta",'Mapa final'!$AD$26="Menor"),CONCATENATE("R5C",'Mapa final'!$R$26),"")</f>
        <v/>
      </c>
      <c r="U20" s="53" t="str">
        <f>IF(AND('Mapa final'!$AB$27="Alta",'Mapa final'!$AD$27="Menor"),CONCATENATE("R5C",'Mapa final'!$R$27),"")</f>
        <v/>
      </c>
      <c r="V20" s="36" t="str">
        <f>IF(AND('Mapa final'!$AB$22="Alta",'Mapa final'!$AD$22="Moderado"),CONCATENATE("R5C",'Mapa final'!$R$22),"")</f>
        <v/>
      </c>
      <c r="W20" s="37" t="str">
        <f>IF(AND('Mapa final'!$AB$23="Alta",'Mapa final'!$AD$23="Moderado"),CONCATENATE("R5C",'Mapa final'!$R$23),"")</f>
        <v/>
      </c>
      <c r="X20" s="37" t="str">
        <f>IF(AND('Mapa final'!$AB$24="Alta",'Mapa final'!$AD$24="Moderado"),CONCATENATE("R5C",'Mapa final'!$R$24),"")</f>
        <v/>
      </c>
      <c r="Y20" s="37" t="str">
        <f>IF(AND('Mapa final'!$AB$25="Alta",'Mapa final'!$AD$25="Moderado"),CONCATENATE("R5C",'Mapa final'!$R$25),"")</f>
        <v/>
      </c>
      <c r="Z20" s="37" t="str">
        <f>IF(AND('Mapa final'!$AB$26="Alta",'Mapa final'!$AD$26="Moderado"),CONCATENATE("R5C",'Mapa final'!$R$26),"")</f>
        <v/>
      </c>
      <c r="AA20" s="38" t="str">
        <f>IF(AND('Mapa final'!$AB$27="Alta",'Mapa final'!$AD$27="Moderado"),CONCATENATE("R5C",'Mapa final'!$R$27),"")</f>
        <v/>
      </c>
      <c r="AB20" s="36" t="str">
        <f>IF(AND('Mapa final'!$AB$22="Alta",'Mapa final'!$AD$22="Mayor"),CONCATENATE("R5C",'Mapa final'!$R$22),"")</f>
        <v/>
      </c>
      <c r="AC20" s="37" t="str">
        <f>IF(AND('Mapa final'!$AB$23="Alta",'Mapa final'!$AD$23="Mayor"),CONCATENATE("R5C",'Mapa final'!$R$23),"")</f>
        <v/>
      </c>
      <c r="AD20" s="37" t="str">
        <f>IF(AND('Mapa final'!$AB$24="Alta",'Mapa final'!$AD$24="Mayor"),CONCATENATE("R5C",'Mapa final'!$R$24),"")</f>
        <v/>
      </c>
      <c r="AE20" s="37" t="str">
        <f>IF(AND('Mapa final'!$AB$25="Alta",'Mapa final'!$AD$25="Mayor"),CONCATENATE("R5C",'Mapa final'!$R$25),"")</f>
        <v/>
      </c>
      <c r="AF20" s="37" t="str">
        <f>IF(AND('Mapa final'!$AB$26="Alta",'Mapa final'!$AD$26="Mayor"),CONCATENATE("R5C",'Mapa final'!$R$26),"")</f>
        <v/>
      </c>
      <c r="AG20" s="38" t="str">
        <f>IF(AND('Mapa final'!$AB$27="Alta",'Mapa final'!$AD$27="Mayor"),CONCATENATE("R5C",'Mapa final'!$R$27),"")</f>
        <v/>
      </c>
      <c r="AH20" s="39" t="str">
        <f>IF(AND('Mapa final'!$AB$22="Alta",'Mapa final'!$AD$22="Catastrófico"),CONCATENATE("R5C",'Mapa final'!$R$22),"")</f>
        <v/>
      </c>
      <c r="AI20" s="40" t="str">
        <f>IF(AND('Mapa final'!$AB$23="Alta",'Mapa final'!$AD$23="Catastrófico"),CONCATENATE("R5C",'Mapa final'!$R$23),"")</f>
        <v/>
      </c>
      <c r="AJ20" s="40" t="str">
        <f>IF(AND('Mapa final'!$AB$24="Alta",'Mapa final'!$AD$24="Catastrófico"),CONCATENATE("R5C",'Mapa final'!$R$24),"")</f>
        <v/>
      </c>
      <c r="AK20" s="40" t="str">
        <f>IF(AND('Mapa final'!$AB$25="Alta",'Mapa final'!$AD$25="Catastrófico"),CONCATENATE("R5C",'Mapa final'!$R$25),"")</f>
        <v/>
      </c>
      <c r="AL20" s="40" t="str">
        <f>IF(AND('Mapa final'!$AB$26="Alta",'Mapa final'!$AD$26="Catastrófico"),CONCATENATE("R5C",'Mapa final'!$R$26),"")</f>
        <v/>
      </c>
      <c r="AM20" s="41" t="str">
        <f>IF(AND('Mapa final'!$AB$27="Alta",'Mapa final'!$AD$27="Catastrófico"),CONCATENATE("R5C",'Mapa final'!$R$27),"")</f>
        <v/>
      </c>
      <c r="AN20" s="67"/>
      <c r="AO20" s="583"/>
      <c r="AP20" s="584"/>
      <c r="AQ20" s="584"/>
      <c r="AR20" s="584"/>
      <c r="AS20" s="584"/>
      <c r="AT20" s="585"/>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row>
    <row r="21" spans="1:76" ht="15" customHeight="1" x14ac:dyDescent="0.3">
      <c r="A21" s="67"/>
      <c r="B21" s="532"/>
      <c r="C21" s="532"/>
      <c r="D21" s="533"/>
      <c r="E21" s="573"/>
      <c r="F21" s="574"/>
      <c r="G21" s="574"/>
      <c r="H21" s="574"/>
      <c r="I21" s="574"/>
      <c r="J21" s="51" t="str">
        <f>IF(AND('Mapa final'!$AB$28="Alta",'Mapa final'!$AD$28="Leve"),CONCATENATE("R6C",'Mapa final'!$R$28),"")</f>
        <v/>
      </c>
      <c r="K21" s="52" t="str">
        <f>IF(AND('Mapa final'!$AB$29="Alta",'Mapa final'!$AD$29="Leve"),CONCATENATE("R6C",'Mapa final'!$R$29),"")</f>
        <v/>
      </c>
      <c r="L21" s="52" t="str">
        <f>IF(AND('Mapa final'!$AB$30="Alta",'Mapa final'!$AD$30="Leve"),CONCATENATE("R6C",'Mapa final'!$R$30),"")</f>
        <v/>
      </c>
      <c r="M21" s="52" t="str">
        <f>IF(AND('Mapa final'!$AB$31="Alta",'Mapa final'!$AD$31="Leve"),CONCATENATE("R6C",'Mapa final'!$R$31),"")</f>
        <v/>
      </c>
      <c r="N21" s="52" t="str">
        <f>IF(AND('Mapa final'!$AB$32="Alta",'Mapa final'!$AD$32="Leve"),CONCATENATE("R6C",'Mapa final'!$R$32),"")</f>
        <v/>
      </c>
      <c r="O21" s="53" t="str">
        <f>IF(AND('Mapa final'!$AB$33="Alta",'Mapa final'!$AD$33="Leve"),CONCATENATE("R6C",'Mapa final'!$R$33),"")</f>
        <v/>
      </c>
      <c r="P21" s="51" t="str">
        <f>IF(AND('Mapa final'!$AB$28="Alta",'Mapa final'!$AD$28="Menor"),CONCATENATE("R6C",'Mapa final'!$R$28),"")</f>
        <v/>
      </c>
      <c r="Q21" s="52" t="str">
        <f>IF(AND('Mapa final'!$AB$29="Alta",'Mapa final'!$AD$29="Menor"),CONCATENATE("R6C",'Mapa final'!$R$29),"")</f>
        <v/>
      </c>
      <c r="R21" s="52" t="str">
        <f>IF(AND('Mapa final'!$AB$30="Alta",'Mapa final'!$AD$30="Menor"),CONCATENATE("R6C",'Mapa final'!$R$30),"")</f>
        <v/>
      </c>
      <c r="S21" s="52" t="str">
        <f>IF(AND('Mapa final'!$AB$31="Alta",'Mapa final'!$AD$31="Menor"),CONCATENATE("R6C",'Mapa final'!$R$31),"")</f>
        <v/>
      </c>
      <c r="T21" s="52" t="str">
        <f>IF(AND('Mapa final'!$AB$32="Alta",'Mapa final'!$AD$32="Menor"),CONCATENATE("R6C",'Mapa final'!$R$32),"")</f>
        <v/>
      </c>
      <c r="U21" s="53" t="str">
        <f>IF(AND('Mapa final'!$AB$33="Alta",'Mapa final'!$AD$33="Menor"),CONCATENATE("R6C",'Mapa final'!$R$33),"")</f>
        <v/>
      </c>
      <c r="V21" s="36" t="str">
        <f>IF(AND('Mapa final'!$AB$28="Alta",'Mapa final'!$AD$28="Moderado"),CONCATENATE("R6C",'Mapa final'!$R$28),"")</f>
        <v/>
      </c>
      <c r="W21" s="37" t="str">
        <f>IF(AND('Mapa final'!$AB$29="Alta",'Mapa final'!$AD$29="Moderado"),CONCATENATE("R6C",'Mapa final'!$R$29),"")</f>
        <v/>
      </c>
      <c r="X21" s="37" t="str">
        <f>IF(AND('Mapa final'!$AB$30="Alta",'Mapa final'!$AD$30="Moderado"),CONCATENATE("R6C",'Mapa final'!$R$30),"")</f>
        <v/>
      </c>
      <c r="Y21" s="37" t="str">
        <f>IF(AND('Mapa final'!$AB$31="Alta",'Mapa final'!$AD$31="Moderado"),CONCATENATE("R6C",'Mapa final'!$R$31),"")</f>
        <v/>
      </c>
      <c r="Z21" s="37" t="str">
        <f>IF(AND('Mapa final'!$AB$32="Alta",'Mapa final'!$AD$32="Moderado"),CONCATENATE("R6C",'Mapa final'!$R$32),"")</f>
        <v/>
      </c>
      <c r="AA21" s="38" t="str">
        <f>IF(AND('Mapa final'!$AB$33="Alta",'Mapa final'!$AD$33="Moderado"),CONCATENATE("R6C",'Mapa final'!$R$33),"")</f>
        <v/>
      </c>
      <c r="AB21" s="36" t="str">
        <f>IF(AND('Mapa final'!$AB$28="Alta",'Mapa final'!$AD$28="Mayor"),CONCATENATE("R6C",'Mapa final'!$R$28),"")</f>
        <v/>
      </c>
      <c r="AC21" s="37" t="str">
        <f>IF(AND('Mapa final'!$AB$29="Alta",'Mapa final'!$AD$29="Mayor"),CONCATENATE("R6C",'Mapa final'!$R$29),"")</f>
        <v/>
      </c>
      <c r="AD21" s="37" t="str">
        <f>IF(AND('Mapa final'!$AB$30="Alta",'Mapa final'!$AD$30="Mayor"),CONCATENATE("R6C",'Mapa final'!$R$30),"")</f>
        <v/>
      </c>
      <c r="AE21" s="37" t="str">
        <f>IF(AND('Mapa final'!$AB$31="Alta",'Mapa final'!$AD$31="Mayor"),CONCATENATE("R6C",'Mapa final'!$R$31),"")</f>
        <v/>
      </c>
      <c r="AF21" s="37" t="str">
        <f>IF(AND('Mapa final'!$AB$32="Alta",'Mapa final'!$AD$32="Mayor"),CONCATENATE("R6C",'Mapa final'!$R$32),"")</f>
        <v/>
      </c>
      <c r="AG21" s="38" t="str">
        <f>IF(AND('Mapa final'!$AB$33="Alta",'Mapa final'!$AD$33="Mayor"),CONCATENATE("R6C",'Mapa final'!$R$33),"")</f>
        <v/>
      </c>
      <c r="AH21" s="39" t="str">
        <f>IF(AND('Mapa final'!$AB$28="Alta",'Mapa final'!$AD$28="Catastrófico"),CONCATENATE("R6C",'Mapa final'!$R$28),"")</f>
        <v/>
      </c>
      <c r="AI21" s="40" t="str">
        <f>IF(AND('Mapa final'!$AB$29="Alta",'Mapa final'!$AD$29="Catastrófico"),CONCATENATE("R6C",'Mapa final'!$R$29),"")</f>
        <v/>
      </c>
      <c r="AJ21" s="40" t="str">
        <f>IF(AND('Mapa final'!$AB$30="Alta",'Mapa final'!$AD$30="Catastrófico"),CONCATENATE("R6C",'Mapa final'!$R$30),"")</f>
        <v/>
      </c>
      <c r="AK21" s="40" t="str">
        <f>IF(AND('Mapa final'!$AB$31="Alta",'Mapa final'!$AD$31="Catastrófico"),CONCATENATE("R6C",'Mapa final'!$R$31),"")</f>
        <v/>
      </c>
      <c r="AL21" s="40" t="str">
        <f>IF(AND('Mapa final'!$AB$32="Alta",'Mapa final'!$AD$32="Catastrófico"),CONCATENATE("R6C",'Mapa final'!$R$32),"")</f>
        <v/>
      </c>
      <c r="AM21" s="41" t="str">
        <f>IF(AND('Mapa final'!$AB$33="Alta",'Mapa final'!$AD$33="Catastrófico"),CONCATENATE("R6C",'Mapa final'!$R$33),"")</f>
        <v/>
      </c>
      <c r="AN21" s="67"/>
      <c r="AO21" s="583"/>
      <c r="AP21" s="584"/>
      <c r="AQ21" s="584"/>
      <c r="AR21" s="584"/>
      <c r="AS21" s="584"/>
      <c r="AT21" s="585"/>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row>
    <row r="22" spans="1:76" ht="15" customHeight="1" x14ac:dyDescent="0.3">
      <c r="A22" s="67"/>
      <c r="B22" s="532"/>
      <c r="C22" s="532"/>
      <c r="D22" s="533"/>
      <c r="E22" s="573"/>
      <c r="F22" s="574"/>
      <c r="G22" s="574"/>
      <c r="H22" s="574"/>
      <c r="I22" s="574"/>
      <c r="J22" s="51" t="str">
        <f>IF(AND('Mapa final'!$AB$34="Alta",'Mapa final'!$AD$34="Leve"),CONCATENATE("R7C",'Mapa final'!$R$34),"")</f>
        <v/>
      </c>
      <c r="K22" s="52" t="str">
        <f>IF(AND('Mapa final'!$AB$35="Alta",'Mapa final'!$AD$35="Leve"),CONCATENATE("R7C",'Mapa final'!$R$35),"")</f>
        <v/>
      </c>
      <c r="L22" s="52" t="str">
        <f>IF(AND('Mapa final'!$AB$36="Alta",'Mapa final'!$AD$36="Leve"),CONCATENATE("R7C",'Mapa final'!$R$36),"")</f>
        <v/>
      </c>
      <c r="M22" s="52" t="str">
        <f>IF(AND('Mapa final'!$AB$37="Alta",'Mapa final'!$AD$37="Leve"),CONCATENATE("R7C",'Mapa final'!$R$37),"")</f>
        <v/>
      </c>
      <c r="N22" s="52" t="str">
        <f>IF(AND('Mapa final'!$AB$38="Alta",'Mapa final'!$AD$38="Leve"),CONCATENATE("R7C",'Mapa final'!$R$38),"")</f>
        <v/>
      </c>
      <c r="O22" s="53" t="str">
        <f>IF(AND('Mapa final'!$AB$39="Alta",'Mapa final'!$AD$39="Leve"),CONCATENATE("R7C",'Mapa final'!$R$39),"")</f>
        <v/>
      </c>
      <c r="P22" s="51" t="str">
        <f>IF(AND('Mapa final'!$AB$34="Alta",'Mapa final'!$AD$34="Menor"),CONCATENATE("R7C",'Mapa final'!$R$34),"")</f>
        <v/>
      </c>
      <c r="Q22" s="52" t="str">
        <f>IF(AND('Mapa final'!$AB$35="Alta",'Mapa final'!$AD$35="Menor"),CONCATENATE("R7C",'Mapa final'!$R$35),"")</f>
        <v/>
      </c>
      <c r="R22" s="52" t="str">
        <f>IF(AND('Mapa final'!$AB$36="Alta",'Mapa final'!$AD$36="Menor"),CONCATENATE("R7C",'Mapa final'!$R$36),"")</f>
        <v/>
      </c>
      <c r="S22" s="52" t="str">
        <f>IF(AND('Mapa final'!$AB$37="Alta",'Mapa final'!$AD$37="Menor"),CONCATENATE("R7C",'Mapa final'!$R$37),"")</f>
        <v/>
      </c>
      <c r="T22" s="52" t="str">
        <f>IF(AND('Mapa final'!$AB$38="Alta",'Mapa final'!$AD$38="Menor"),CONCATENATE("R7C",'Mapa final'!$R$38),"")</f>
        <v/>
      </c>
      <c r="U22" s="53" t="str">
        <f>IF(AND('Mapa final'!$AB$39="Alta",'Mapa final'!$AD$39="Menor"),CONCATENATE("R7C",'Mapa final'!$R$39),"")</f>
        <v/>
      </c>
      <c r="V22" s="36" t="str">
        <f>IF(AND('Mapa final'!$AB$34="Alta",'Mapa final'!$AD$34="Moderado"),CONCATENATE("R7C",'Mapa final'!$R$34),"")</f>
        <v/>
      </c>
      <c r="W22" s="37" t="str">
        <f>IF(AND('Mapa final'!$AB$35="Alta",'Mapa final'!$AD$35="Moderado"),CONCATENATE("R7C",'Mapa final'!$R$35),"")</f>
        <v/>
      </c>
      <c r="X22" s="37" t="str">
        <f>IF(AND('Mapa final'!$AB$36="Alta",'Mapa final'!$AD$36="Moderado"),CONCATENATE("R7C",'Mapa final'!$R$36),"")</f>
        <v/>
      </c>
      <c r="Y22" s="37" t="str">
        <f>IF(AND('Mapa final'!$AB$37="Alta",'Mapa final'!$AD$37="Moderado"),CONCATENATE("R7C",'Mapa final'!$R$37),"")</f>
        <v/>
      </c>
      <c r="Z22" s="37" t="str">
        <f>IF(AND('Mapa final'!$AB$38="Alta",'Mapa final'!$AD$38="Moderado"),CONCATENATE("R7C",'Mapa final'!$R$38),"")</f>
        <v/>
      </c>
      <c r="AA22" s="38" t="str">
        <f>IF(AND('Mapa final'!$AB$39="Alta",'Mapa final'!$AD$39="Moderado"),CONCATENATE("R7C",'Mapa final'!$R$39),"")</f>
        <v/>
      </c>
      <c r="AB22" s="36" t="str">
        <f>IF(AND('Mapa final'!$AB$34="Alta",'Mapa final'!$AD$34="Mayor"),CONCATENATE("R7C",'Mapa final'!$R$34),"")</f>
        <v/>
      </c>
      <c r="AC22" s="37" t="str">
        <f>IF(AND('Mapa final'!$AB$35="Alta",'Mapa final'!$AD$35="Mayor"),CONCATENATE("R7C",'Mapa final'!$R$35),"")</f>
        <v/>
      </c>
      <c r="AD22" s="37" t="str">
        <f>IF(AND('Mapa final'!$AB$36="Alta",'Mapa final'!$AD$36="Mayor"),CONCATENATE("R7C",'Mapa final'!$R$36),"")</f>
        <v/>
      </c>
      <c r="AE22" s="37" t="str">
        <f>IF(AND('Mapa final'!$AB$37="Alta",'Mapa final'!$AD$37="Mayor"),CONCATENATE("R7C",'Mapa final'!$R$37),"")</f>
        <v/>
      </c>
      <c r="AF22" s="37" t="str">
        <f>IF(AND('Mapa final'!$AB$38="Alta",'Mapa final'!$AD$38="Mayor"),CONCATENATE("R7C",'Mapa final'!$R$38),"")</f>
        <v/>
      </c>
      <c r="AG22" s="38" t="str">
        <f>IF(AND('Mapa final'!$AB$39="Alta",'Mapa final'!$AD$39="Mayor"),CONCATENATE("R7C",'Mapa final'!$R$39),"")</f>
        <v/>
      </c>
      <c r="AH22" s="39" t="str">
        <f>IF(AND('Mapa final'!$AB$34="Alta",'Mapa final'!$AD$34="Catastrófico"),CONCATENATE("R7C",'Mapa final'!$R$34),"")</f>
        <v/>
      </c>
      <c r="AI22" s="40" t="str">
        <f>IF(AND('Mapa final'!$AB$35="Alta",'Mapa final'!$AD$35="Catastrófico"),CONCATENATE("R7C",'Mapa final'!$R$35),"")</f>
        <v/>
      </c>
      <c r="AJ22" s="40" t="str">
        <f>IF(AND('Mapa final'!$AB$36="Alta",'Mapa final'!$AD$36="Catastrófico"),CONCATENATE("R7C",'Mapa final'!$R$36),"")</f>
        <v/>
      </c>
      <c r="AK22" s="40" t="str">
        <f>IF(AND('Mapa final'!$AB$37="Alta",'Mapa final'!$AD$37="Catastrófico"),CONCATENATE("R7C",'Mapa final'!$R$37),"")</f>
        <v/>
      </c>
      <c r="AL22" s="40" t="str">
        <f>IF(AND('Mapa final'!$AB$38="Alta",'Mapa final'!$AD$38="Catastrófico"),CONCATENATE("R7C",'Mapa final'!$R$38),"")</f>
        <v/>
      </c>
      <c r="AM22" s="41" t="str">
        <f>IF(AND('Mapa final'!$AB$39="Alta",'Mapa final'!$AD$39="Catastrófico"),CONCATENATE("R7C",'Mapa final'!$R$39),"")</f>
        <v/>
      </c>
      <c r="AN22" s="67"/>
      <c r="AO22" s="583"/>
      <c r="AP22" s="584"/>
      <c r="AQ22" s="584"/>
      <c r="AR22" s="584"/>
      <c r="AS22" s="584"/>
      <c r="AT22" s="585"/>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row>
    <row r="23" spans="1:76" ht="15" customHeight="1" x14ac:dyDescent="0.3">
      <c r="A23" s="67"/>
      <c r="B23" s="532"/>
      <c r="C23" s="532"/>
      <c r="D23" s="533"/>
      <c r="E23" s="573"/>
      <c r="F23" s="574"/>
      <c r="G23" s="574"/>
      <c r="H23" s="574"/>
      <c r="I23" s="574"/>
      <c r="J23" s="51" t="str">
        <f>IF(AND('Mapa final'!$AB$40="Alta",'Mapa final'!$AD$40="Leve"),CONCATENATE("R8C",'Mapa final'!$R$40),"")</f>
        <v/>
      </c>
      <c r="K23" s="52" t="str">
        <f>IF(AND('Mapa final'!$AB$41="Alta",'Mapa final'!$AD$41="Leve"),CONCATENATE("R8C",'Mapa final'!$R$41),"")</f>
        <v/>
      </c>
      <c r="L23" s="52" t="str">
        <f>IF(AND('Mapa final'!$AB$42="Alta",'Mapa final'!$AD$42="Leve"),CONCATENATE("R8C",'Mapa final'!$R$42),"")</f>
        <v/>
      </c>
      <c r="M23" s="52" t="str">
        <f>IF(AND('Mapa final'!$AB$43="Alta",'Mapa final'!$AD$43="Leve"),CONCATENATE("R8C",'Mapa final'!$R$43),"")</f>
        <v/>
      </c>
      <c r="N23" s="52" t="str">
        <f>IF(AND('Mapa final'!$AB$44="Alta",'Mapa final'!$AD$44="Leve"),CONCATENATE("R8C",'Mapa final'!$R$44),"")</f>
        <v/>
      </c>
      <c r="O23" s="53" t="str">
        <f>IF(AND('Mapa final'!$AB$45="Alta",'Mapa final'!$AD$45="Leve"),CONCATENATE("R8C",'Mapa final'!$R$45),"")</f>
        <v/>
      </c>
      <c r="P23" s="51" t="str">
        <f>IF(AND('Mapa final'!$AB$40="Alta",'Mapa final'!$AD$40="Menor"),CONCATENATE("R8C",'Mapa final'!$R$40),"")</f>
        <v/>
      </c>
      <c r="Q23" s="52" t="str">
        <f>IF(AND('Mapa final'!$AB$41="Alta",'Mapa final'!$AD$41="Menor"),CONCATENATE("R8C",'Mapa final'!$R$41),"")</f>
        <v/>
      </c>
      <c r="R23" s="52" t="str">
        <f>IF(AND('Mapa final'!$AB$42="Alta",'Mapa final'!$AD$42="Menor"),CONCATENATE("R8C",'Mapa final'!$R$42),"")</f>
        <v/>
      </c>
      <c r="S23" s="52" t="str">
        <f>IF(AND('Mapa final'!$AB$43="Alta",'Mapa final'!$AD$43="Menor"),CONCATENATE("R8C",'Mapa final'!$R$43),"")</f>
        <v/>
      </c>
      <c r="T23" s="52" t="str">
        <f>IF(AND('Mapa final'!$AB$44="Alta",'Mapa final'!$AD$44="Menor"),CONCATENATE("R8C",'Mapa final'!$R$44),"")</f>
        <v/>
      </c>
      <c r="U23" s="53" t="str">
        <f>IF(AND('Mapa final'!$AB$45="Alta",'Mapa final'!$AD$45="Menor"),CONCATENATE("R8C",'Mapa final'!$R$45),"")</f>
        <v/>
      </c>
      <c r="V23" s="36" t="str">
        <f>IF(AND('Mapa final'!$AB$40="Alta",'Mapa final'!$AD$40="Moderado"),CONCATENATE("R8C",'Mapa final'!$R$40),"")</f>
        <v/>
      </c>
      <c r="W23" s="37" t="str">
        <f>IF(AND('Mapa final'!$AB$41="Alta",'Mapa final'!$AD$41="Moderado"),CONCATENATE("R8C",'Mapa final'!$R$41),"")</f>
        <v/>
      </c>
      <c r="X23" s="37" t="str">
        <f>IF(AND('Mapa final'!$AB$42="Alta",'Mapa final'!$AD$42="Moderado"),CONCATENATE("R8C",'Mapa final'!$R$42),"")</f>
        <v/>
      </c>
      <c r="Y23" s="37" t="str">
        <f>IF(AND('Mapa final'!$AB$43="Alta",'Mapa final'!$AD$43="Moderado"),CONCATENATE("R8C",'Mapa final'!$R$43),"")</f>
        <v/>
      </c>
      <c r="Z23" s="37" t="str">
        <f>IF(AND('Mapa final'!$AB$44="Alta",'Mapa final'!$AD$44="Moderado"),CONCATENATE("R8C",'Mapa final'!$R$44),"")</f>
        <v/>
      </c>
      <c r="AA23" s="38" t="str">
        <f>IF(AND('Mapa final'!$AB$45="Alta",'Mapa final'!$AD$45="Moderado"),CONCATENATE("R8C",'Mapa final'!$R$45),"")</f>
        <v/>
      </c>
      <c r="AB23" s="36" t="str">
        <f>IF(AND('Mapa final'!$AB$40="Alta",'Mapa final'!$AD$40="Mayor"),CONCATENATE("R8C",'Mapa final'!$R$40),"")</f>
        <v/>
      </c>
      <c r="AC23" s="37" t="str">
        <f>IF(AND('Mapa final'!$AB$41="Alta",'Mapa final'!$AD$41="Mayor"),CONCATENATE("R8C",'Mapa final'!$R$41),"")</f>
        <v/>
      </c>
      <c r="AD23" s="37" t="str">
        <f>IF(AND('Mapa final'!$AB$42="Alta",'Mapa final'!$AD$42="Mayor"),CONCATENATE("R8C",'Mapa final'!$R$42),"")</f>
        <v/>
      </c>
      <c r="AE23" s="37" t="str">
        <f>IF(AND('Mapa final'!$AB$43="Alta",'Mapa final'!$AD$43="Mayor"),CONCATENATE("R8C",'Mapa final'!$R$43),"")</f>
        <v/>
      </c>
      <c r="AF23" s="37" t="str">
        <f>IF(AND('Mapa final'!$AB$44="Alta",'Mapa final'!$AD$44="Mayor"),CONCATENATE("R8C",'Mapa final'!$R$44),"")</f>
        <v/>
      </c>
      <c r="AG23" s="38" t="str">
        <f>IF(AND('Mapa final'!$AB$45="Alta",'Mapa final'!$AD$45="Mayor"),CONCATENATE("R8C",'Mapa final'!$R$45),"")</f>
        <v/>
      </c>
      <c r="AH23" s="39" t="str">
        <f>IF(AND('Mapa final'!$AB$40="Alta",'Mapa final'!$AD$40="Catastrófico"),CONCATENATE("R8C",'Mapa final'!$R$40),"")</f>
        <v/>
      </c>
      <c r="AI23" s="40" t="str">
        <f>IF(AND('Mapa final'!$AB$41="Alta",'Mapa final'!$AD$41="Catastrófico"),CONCATENATE("R8C",'Mapa final'!$R$41),"")</f>
        <v/>
      </c>
      <c r="AJ23" s="40" t="str">
        <f>IF(AND('Mapa final'!$AB$42="Alta",'Mapa final'!$AD$42="Catastrófico"),CONCATENATE("R8C",'Mapa final'!$R$42),"")</f>
        <v/>
      </c>
      <c r="AK23" s="40" t="str">
        <f>IF(AND('Mapa final'!$AB$43="Alta",'Mapa final'!$AD$43="Catastrófico"),CONCATENATE("R8C",'Mapa final'!$R$43),"")</f>
        <v/>
      </c>
      <c r="AL23" s="40" t="str">
        <f>IF(AND('Mapa final'!$AB$44="Alta",'Mapa final'!$AD$44="Catastrófico"),CONCATENATE("R8C",'Mapa final'!$R$44),"")</f>
        <v/>
      </c>
      <c r="AM23" s="41" t="str">
        <f>IF(AND('Mapa final'!$AB$45="Alta",'Mapa final'!$AD$45="Catastrófico"),CONCATENATE("R8C",'Mapa final'!$R$45),"")</f>
        <v/>
      </c>
      <c r="AN23" s="67"/>
      <c r="AO23" s="583"/>
      <c r="AP23" s="584"/>
      <c r="AQ23" s="584"/>
      <c r="AR23" s="584"/>
      <c r="AS23" s="584"/>
      <c r="AT23" s="585"/>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row>
    <row r="24" spans="1:76" ht="15" customHeight="1" x14ac:dyDescent="0.3">
      <c r="A24" s="67"/>
      <c r="B24" s="532"/>
      <c r="C24" s="532"/>
      <c r="D24" s="533"/>
      <c r="E24" s="573"/>
      <c r="F24" s="574"/>
      <c r="G24" s="574"/>
      <c r="H24" s="574"/>
      <c r="I24" s="574"/>
      <c r="J24" s="51" t="str">
        <f>IF(AND('Mapa final'!$AB$46="Alta",'Mapa final'!$AD$46="Leve"),CONCATENATE("R9C",'Mapa final'!$R$46),"")</f>
        <v/>
      </c>
      <c r="K24" s="52" t="str">
        <f>IF(AND('Mapa final'!$AB$47="Alta",'Mapa final'!$AD$47="Leve"),CONCATENATE("R9C",'Mapa final'!$R$47),"")</f>
        <v/>
      </c>
      <c r="L24" s="52" t="str">
        <f>IF(AND('Mapa final'!$AB$48="Alta",'Mapa final'!$AD$48="Leve"),CONCATENATE("R9C",'Mapa final'!$R$48),"")</f>
        <v/>
      </c>
      <c r="M24" s="52" t="str">
        <f>IF(AND('Mapa final'!$AB$49="Alta",'Mapa final'!$AD$49="Leve"),CONCATENATE("R9C",'Mapa final'!$R$49),"")</f>
        <v/>
      </c>
      <c r="N24" s="52" t="str">
        <f>IF(AND('Mapa final'!$AB$50="Alta",'Mapa final'!$AD$50="Leve"),CONCATENATE("R9C",'Mapa final'!$R$50),"")</f>
        <v/>
      </c>
      <c r="O24" s="53" t="str">
        <f>IF(AND('Mapa final'!$AB$51="Alta",'Mapa final'!$AD$51="Leve"),CONCATENATE("R9C",'Mapa final'!$R$51),"")</f>
        <v/>
      </c>
      <c r="P24" s="51" t="str">
        <f>IF(AND('Mapa final'!$AB$46="Alta",'Mapa final'!$AD$46="Menor"),CONCATENATE("R9C",'Mapa final'!$R$46),"")</f>
        <v/>
      </c>
      <c r="Q24" s="52" t="str">
        <f>IF(AND('Mapa final'!$AB$47="Alta",'Mapa final'!$AD$47="Menor"),CONCATENATE("R9C",'Mapa final'!$R$47),"")</f>
        <v/>
      </c>
      <c r="R24" s="52" t="str">
        <f>IF(AND('Mapa final'!$AB$48="Alta",'Mapa final'!$AD$48="Menor"),CONCATENATE("R9C",'Mapa final'!$R$48),"")</f>
        <v/>
      </c>
      <c r="S24" s="52" t="str">
        <f>IF(AND('Mapa final'!$AB$49="Alta",'Mapa final'!$AD$49="Menor"),CONCATENATE("R9C",'Mapa final'!$R$49),"")</f>
        <v/>
      </c>
      <c r="T24" s="52" t="str">
        <f>IF(AND('Mapa final'!$AB$50="Alta",'Mapa final'!$AD$50="Menor"),CONCATENATE("R9C",'Mapa final'!$R$50),"")</f>
        <v/>
      </c>
      <c r="U24" s="53" t="str">
        <f>IF(AND('Mapa final'!$AB$51="Alta",'Mapa final'!$AD$51="Menor"),CONCATENATE("R9C",'Mapa final'!$R$51),"")</f>
        <v/>
      </c>
      <c r="V24" s="36" t="str">
        <f>IF(AND('Mapa final'!$AB$46="Alta",'Mapa final'!$AD$46="Moderado"),CONCATENATE("R9C",'Mapa final'!$R$46),"")</f>
        <v/>
      </c>
      <c r="W24" s="37" t="str">
        <f>IF(AND('Mapa final'!$AB$47="Alta",'Mapa final'!$AD$47="Moderado"),CONCATENATE("R9C",'Mapa final'!$R$47),"")</f>
        <v/>
      </c>
      <c r="X24" s="37" t="str">
        <f>IF(AND('Mapa final'!$AB$48="Alta",'Mapa final'!$AD$48="Moderado"),CONCATENATE("R9C",'Mapa final'!$R$48),"")</f>
        <v/>
      </c>
      <c r="Y24" s="37" t="str">
        <f>IF(AND('Mapa final'!$AB$49="Alta",'Mapa final'!$AD$49="Moderado"),CONCATENATE("R9C",'Mapa final'!$R$49),"")</f>
        <v/>
      </c>
      <c r="Z24" s="37" t="str">
        <f>IF(AND('Mapa final'!$AB$50="Alta",'Mapa final'!$AD$50="Moderado"),CONCATENATE("R9C",'Mapa final'!$R$50),"")</f>
        <v/>
      </c>
      <c r="AA24" s="38" t="str">
        <f>IF(AND('Mapa final'!$AB$51="Alta",'Mapa final'!$AD$51="Moderado"),CONCATENATE("R9C",'Mapa final'!$R$51),"")</f>
        <v/>
      </c>
      <c r="AB24" s="36" t="str">
        <f>IF(AND('Mapa final'!$AB$46="Alta",'Mapa final'!$AD$46="Mayor"),CONCATENATE("R9C",'Mapa final'!$R$46),"")</f>
        <v/>
      </c>
      <c r="AC24" s="37" t="str">
        <f>IF(AND('Mapa final'!$AB$47="Alta",'Mapa final'!$AD$47="Mayor"),CONCATENATE("R9C",'Mapa final'!$R$47),"")</f>
        <v/>
      </c>
      <c r="AD24" s="37" t="str">
        <f>IF(AND('Mapa final'!$AB$48="Alta",'Mapa final'!$AD$48="Mayor"),CONCATENATE("R9C",'Mapa final'!$R$48),"")</f>
        <v/>
      </c>
      <c r="AE24" s="37" t="str">
        <f>IF(AND('Mapa final'!$AB$49="Alta",'Mapa final'!$AD$49="Mayor"),CONCATENATE("R9C",'Mapa final'!$R$49),"")</f>
        <v/>
      </c>
      <c r="AF24" s="37" t="str">
        <f>IF(AND('Mapa final'!$AB$50="Alta",'Mapa final'!$AD$50="Mayor"),CONCATENATE("R9C",'Mapa final'!$R$50),"")</f>
        <v/>
      </c>
      <c r="AG24" s="38" t="str">
        <f>IF(AND('Mapa final'!$AB$51="Alta",'Mapa final'!$AD$51="Mayor"),CONCATENATE("R9C",'Mapa final'!$R$51),"")</f>
        <v/>
      </c>
      <c r="AH24" s="39" t="str">
        <f>IF(AND('Mapa final'!$AB$46="Alta",'Mapa final'!$AD$46="Catastrófico"),CONCATENATE("R9C",'Mapa final'!$R$46),"")</f>
        <v/>
      </c>
      <c r="AI24" s="40" t="str">
        <f>IF(AND('Mapa final'!$AB$47="Alta",'Mapa final'!$AD$47="Catastrófico"),CONCATENATE("R9C",'Mapa final'!$R$47),"")</f>
        <v/>
      </c>
      <c r="AJ24" s="40" t="str">
        <f>IF(AND('Mapa final'!$AB$48="Alta",'Mapa final'!$AD$48="Catastrófico"),CONCATENATE("R9C",'Mapa final'!$R$48),"")</f>
        <v/>
      </c>
      <c r="AK24" s="40" t="str">
        <f>IF(AND('Mapa final'!$AB$49="Alta",'Mapa final'!$AD$49="Catastrófico"),CONCATENATE("R9C",'Mapa final'!$R$49),"")</f>
        <v/>
      </c>
      <c r="AL24" s="40" t="str">
        <f>IF(AND('Mapa final'!$AB$50="Alta",'Mapa final'!$AD$50="Catastrófico"),CONCATENATE("R9C",'Mapa final'!$R$50),"")</f>
        <v/>
      </c>
      <c r="AM24" s="41" t="str">
        <f>IF(AND('Mapa final'!$AB$51="Alta",'Mapa final'!$AD$51="Catastrófico"),CONCATENATE("R9C",'Mapa final'!$R$51),"")</f>
        <v/>
      </c>
      <c r="AN24" s="67"/>
      <c r="AO24" s="583"/>
      <c r="AP24" s="584"/>
      <c r="AQ24" s="584"/>
      <c r="AR24" s="584"/>
      <c r="AS24" s="584"/>
      <c r="AT24" s="585"/>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row>
    <row r="25" spans="1:76" ht="15.75" customHeight="1" thickBot="1" x14ac:dyDescent="0.35">
      <c r="A25" s="67"/>
      <c r="B25" s="532"/>
      <c r="C25" s="532"/>
      <c r="D25" s="533"/>
      <c r="E25" s="576"/>
      <c r="F25" s="577"/>
      <c r="G25" s="577"/>
      <c r="H25" s="577"/>
      <c r="I25" s="577"/>
      <c r="J25" s="54" t="str">
        <f>IF(AND('Mapa final'!$AB$52="Alta",'Mapa final'!$AD$52="Leve"),CONCATENATE("R10C",'Mapa final'!$R$52),"")</f>
        <v/>
      </c>
      <c r="K25" s="55" t="str">
        <f>IF(AND('Mapa final'!$AB$53="Alta",'Mapa final'!$AD$53="Leve"),CONCATENATE("R10C",'Mapa final'!$R$53),"")</f>
        <v/>
      </c>
      <c r="L25" s="55" t="str">
        <f>IF(AND('Mapa final'!$AB$54="Alta",'Mapa final'!$AD$54="Leve"),CONCATENATE("R10C",'Mapa final'!$R$54),"")</f>
        <v/>
      </c>
      <c r="M25" s="55" t="str">
        <f>IF(AND('Mapa final'!$AB$55="Alta",'Mapa final'!$AD$55="Leve"),CONCATENATE("R10C",'Mapa final'!$R$55),"")</f>
        <v/>
      </c>
      <c r="N25" s="55" t="str">
        <f>IF(AND('Mapa final'!$AB$56="Alta",'Mapa final'!$AD$56="Leve"),CONCATENATE("R10C",'Mapa final'!$R$56),"")</f>
        <v/>
      </c>
      <c r="O25" s="56" t="str">
        <f>IF(AND('Mapa final'!$AB$57="Alta",'Mapa final'!$AD$57="Leve"),CONCATENATE("R10C",'Mapa final'!$R$57),"")</f>
        <v/>
      </c>
      <c r="P25" s="54" t="str">
        <f>IF(AND('Mapa final'!$AB$52="Alta",'Mapa final'!$AD$52="Menor"),CONCATENATE("R10C",'Mapa final'!$R$52),"")</f>
        <v/>
      </c>
      <c r="Q25" s="55" t="str">
        <f>IF(AND('Mapa final'!$AB$53="Alta",'Mapa final'!$AD$53="Menor"),CONCATENATE("R10C",'Mapa final'!$R$53),"")</f>
        <v/>
      </c>
      <c r="R25" s="55" t="str">
        <f>IF(AND('Mapa final'!$AB$54="Alta",'Mapa final'!$AD$54="Menor"),CONCATENATE("R10C",'Mapa final'!$R$54),"")</f>
        <v/>
      </c>
      <c r="S25" s="55" t="str">
        <f>IF(AND('Mapa final'!$AB$55="Alta",'Mapa final'!$AD$55="Menor"),CONCATENATE("R10C",'Mapa final'!$R$55),"")</f>
        <v/>
      </c>
      <c r="T25" s="55" t="str">
        <f>IF(AND('Mapa final'!$AB$56="Alta",'Mapa final'!$AD$56="Menor"),CONCATENATE("R10C",'Mapa final'!$R$56),"")</f>
        <v/>
      </c>
      <c r="U25" s="56" t="str">
        <f>IF(AND('Mapa final'!$AB$57="Alta",'Mapa final'!$AD$57="Menor"),CONCATENATE("R10C",'Mapa final'!$R$57),"")</f>
        <v/>
      </c>
      <c r="V25" s="42" t="str">
        <f>IF(AND('Mapa final'!$AB$52="Alta",'Mapa final'!$AD$52="Moderado"),CONCATENATE("R10C",'Mapa final'!$R$52),"")</f>
        <v/>
      </c>
      <c r="W25" s="43" t="str">
        <f>IF(AND('Mapa final'!$AB$53="Alta",'Mapa final'!$AD$53="Moderado"),CONCATENATE("R10C",'Mapa final'!$R$53),"")</f>
        <v/>
      </c>
      <c r="X25" s="43" t="str">
        <f>IF(AND('Mapa final'!$AB$54="Alta",'Mapa final'!$AD$54="Moderado"),CONCATENATE("R10C",'Mapa final'!$R$54),"")</f>
        <v/>
      </c>
      <c r="Y25" s="43" t="str">
        <f>IF(AND('Mapa final'!$AB$55="Alta",'Mapa final'!$AD$55="Moderado"),CONCATENATE("R10C",'Mapa final'!$R$55),"")</f>
        <v/>
      </c>
      <c r="Z25" s="43" t="str">
        <f>IF(AND('Mapa final'!$AB$56="Alta",'Mapa final'!$AD$56="Moderado"),CONCATENATE("R10C",'Mapa final'!$R$56),"")</f>
        <v/>
      </c>
      <c r="AA25" s="44" t="str">
        <f>IF(AND('Mapa final'!$AB$57="Alta",'Mapa final'!$AD$57="Moderado"),CONCATENATE("R10C",'Mapa final'!$R$57),"")</f>
        <v/>
      </c>
      <c r="AB25" s="42" t="str">
        <f>IF(AND('Mapa final'!$AB$52="Alta",'Mapa final'!$AD$52="Mayor"),CONCATENATE("R10C",'Mapa final'!$R$52),"")</f>
        <v/>
      </c>
      <c r="AC25" s="43" t="str">
        <f>IF(AND('Mapa final'!$AB$53="Alta",'Mapa final'!$AD$53="Mayor"),CONCATENATE("R10C",'Mapa final'!$R$53),"")</f>
        <v/>
      </c>
      <c r="AD25" s="43" t="str">
        <f>IF(AND('Mapa final'!$AB$54="Alta",'Mapa final'!$AD$54="Mayor"),CONCATENATE("R10C",'Mapa final'!$R$54),"")</f>
        <v/>
      </c>
      <c r="AE25" s="43" t="str">
        <f>IF(AND('Mapa final'!$AB$55="Alta",'Mapa final'!$AD$55="Mayor"),CONCATENATE("R10C",'Mapa final'!$R$55),"")</f>
        <v/>
      </c>
      <c r="AF25" s="43" t="str">
        <f>IF(AND('Mapa final'!$AB$56="Alta",'Mapa final'!$AD$56="Mayor"),CONCATENATE("R10C",'Mapa final'!$R$56),"")</f>
        <v/>
      </c>
      <c r="AG25" s="44" t="str">
        <f>IF(AND('Mapa final'!$AB$57="Alta",'Mapa final'!$AD$57="Mayor"),CONCATENATE("R10C",'Mapa final'!$R$57),"")</f>
        <v/>
      </c>
      <c r="AH25" s="45" t="str">
        <f>IF(AND('Mapa final'!$AB$52="Alta",'Mapa final'!$AD$52="Catastrófico"),CONCATENATE("R10C",'Mapa final'!$R$52),"")</f>
        <v/>
      </c>
      <c r="AI25" s="46" t="str">
        <f>IF(AND('Mapa final'!$AB$53="Alta",'Mapa final'!$AD$53="Catastrófico"),CONCATENATE("R10C",'Mapa final'!$R$53),"")</f>
        <v/>
      </c>
      <c r="AJ25" s="46" t="str">
        <f>IF(AND('Mapa final'!$AB$54="Alta",'Mapa final'!$AD$54="Catastrófico"),CONCATENATE("R10C",'Mapa final'!$R$54),"")</f>
        <v/>
      </c>
      <c r="AK25" s="46" t="str">
        <f>IF(AND('Mapa final'!$AB$55="Alta",'Mapa final'!$AD$55="Catastrófico"),CONCATENATE("R10C",'Mapa final'!$R$55),"")</f>
        <v/>
      </c>
      <c r="AL25" s="46" t="str">
        <f>IF(AND('Mapa final'!$AB$56="Alta",'Mapa final'!$AD$56="Catastrófico"),CONCATENATE("R10C",'Mapa final'!$R$56),"")</f>
        <v/>
      </c>
      <c r="AM25" s="47" t="str">
        <f>IF(AND('Mapa final'!$AB$57="Alta",'Mapa final'!$AD$57="Catastrófico"),CONCATENATE("R10C",'Mapa final'!$R$57),"")</f>
        <v/>
      </c>
      <c r="AN25" s="67"/>
      <c r="AO25" s="586"/>
      <c r="AP25" s="587"/>
      <c r="AQ25" s="587"/>
      <c r="AR25" s="587"/>
      <c r="AS25" s="587"/>
      <c r="AT25" s="588"/>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row>
    <row r="26" spans="1:76" ht="15" customHeight="1" x14ac:dyDescent="0.3">
      <c r="A26" s="67"/>
      <c r="B26" s="532"/>
      <c r="C26" s="532"/>
      <c r="D26" s="533"/>
      <c r="E26" s="570" t="s">
        <v>112</v>
      </c>
      <c r="F26" s="571"/>
      <c r="G26" s="571"/>
      <c r="H26" s="571"/>
      <c r="I26" s="572"/>
      <c r="J26" s="48" t="str">
        <f>IF(AND('Mapa final'!$AB$10="Media",'Mapa final'!$AD$10="Leve"),CONCATENATE("R1C",'Mapa final'!$R$10),"")</f>
        <v/>
      </c>
      <c r="K26" s="49" t="str">
        <f>IF(AND('Mapa final'!$AB$11="Media",'Mapa final'!$AD$11="Leve"),CONCATENATE("R1C",'Mapa final'!$R$11),"")</f>
        <v/>
      </c>
      <c r="L26" s="49" t="e">
        <f>IF(AND('Mapa final'!#REF!="Media",'Mapa final'!#REF!="Leve"),CONCATENATE("R1C",'Mapa final'!#REF!),"")</f>
        <v>#REF!</v>
      </c>
      <c r="M26" s="49" t="e">
        <f>IF(AND('Mapa final'!#REF!="Media",'Mapa final'!#REF!="Leve"),CONCATENATE("R1C",'Mapa final'!#REF!),"")</f>
        <v>#REF!</v>
      </c>
      <c r="N26" s="49" t="e">
        <f>IF(AND('Mapa final'!#REF!="Media",'Mapa final'!#REF!="Leve"),CONCATENATE("R1C",'Mapa final'!#REF!),"")</f>
        <v>#REF!</v>
      </c>
      <c r="O26" s="50" t="e">
        <f>IF(AND('Mapa final'!#REF!="Media",'Mapa final'!#REF!="Leve"),CONCATENATE("R1C",'Mapa final'!#REF!),"")</f>
        <v>#REF!</v>
      </c>
      <c r="P26" s="48" t="str">
        <f>IF(AND('Mapa final'!$AB$10="Media",'Mapa final'!$AD$10="Menor"),CONCATENATE("R1C",'Mapa final'!$R$10),"")</f>
        <v/>
      </c>
      <c r="Q26" s="49" t="str">
        <f>IF(AND('Mapa final'!$AB$11="Media",'Mapa final'!$AD$11="Menor"),CONCATENATE("R1C",'Mapa final'!$R$11),"")</f>
        <v/>
      </c>
      <c r="R26" s="49" t="e">
        <f>IF(AND('Mapa final'!#REF!="Media",'Mapa final'!#REF!="Menor"),CONCATENATE("R1C",'Mapa final'!#REF!),"")</f>
        <v>#REF!</v>
      </c>
      <c r="S26" s="49" t="e">
        <f>IF(AND('Mapa final'!#REF!="Media",'Mapa final'!#REF!="Menor"),CONCATENATE("R1C",'Mapa final'!#REF!),"")</f>
        <v>#REF!</v>
      </c>
      <c r="T26" s="49" t="e">
        <f>IF(AND('Mapa final'!#REF!="Media",'Mapa final'!#REF!="Menor"),CONCATENATE("R1C",'Mapa final'!#REF!),"")</f>
        <v>#REF!</v>
      </c>
      <c r="U26" s="50" t="e">
        <f>IF(AND('Mapa final'!#REF!="Media",'Mapa final'!#REF!="Menor"),CONCATENATE("R1C",'Mapa final'!#REF!),"")</f>
        <v>#REF!</v>
      </c>
      <c r="V26" s="48" t="str">
        <f>IF(AND('Mapa final'!$AB$10="Media",'Mapa final'!$AD$10="Moderado"),CONCATENATE("R1C",'Mapa final'!$R$10),"")</f>
        <v/>
      </c>
      <c r="W26" s="49" t="str">
        <f>IF(AND('Mapa final'!$AB$11="Media",'Mapa final'!$AD$11="Moderado"),CONCATENATE("R1C",'Mapa final'!$R$11),"")</f>
        <v/>
      </c>
      <c r="X26" s="49" t="e">
        <f>IF(AND('Mapa final'!#REF!="Media",'Mapa final'!#REF!="Moderado"),CONCATENATE("R1C",'Mapa final'!#REF!),"")</f>
        <v>#REF!</v>
      </c>
      <c r="Y26" s="49" t="e">
        <f>IF(AND('Mapa final'!#REF!="Media",'Mapa final'!#REF!="Moderado"),CONCATENATE("R1C",'Mapa final'!#REF!),"")</f>
        <v>#REF!</v>
      </c>
      <c r="Z26" s="49" t="e">
        <f>IF(AND('Mapa final'!#REF!="Media",'Mapa final'!#REF!="Moderado"),CONCATENATE("R1C",'Mapa final'!#REF!),"")</f>
        <v>#REF!</v>
      </c>
      <c r="AA26" s="50" t="e">
        <f>IF(AND('Mapa final'!#REF!="Media",'Mapa final'!#REF!="Moderado"),CONCATENATE("R1C",'Mapa final'!#REF!),"")</f>
        <v>#REF!</v>
      </c>
      <c r="AB26" s="30" t="str">
        <f>IF(AND('Mapa final'!$AB$10="Media",'Mapa final'!$AD$10="Mayor"),CONCATENATE("R1C",'Mapa final'!$R$10),"")</f>
        <v/>
      </c>
      <c r="AC26" s="31" t="str">
        <f>IF(AND('Mapa final'!$AB$11="Media",'Mapa final'!$AD$11="Mayor"),CONCATENATE("R1C",'Mapa final'!$R$11),"")</f>
        <v/>
      </c>
      <c r="AD26" s="31" t="e">
        <f>IF(AND('Mapa final'!#REF!="Media",'Mapa final'!#REF!="Mayor"),CONCATENATE("R1C",'Mapa final'!#REF!),"")</f>
        <v>#REF!</v>
      </c>
      <c r="AE26" s="31" t="e">
        <f>IF(AND('Mapa final'!#REF!="Media",'Mapa final'!#REF!="Mayor"),CONCATENATE("R1C",'Mapa final'!#REF!),"")</f>
        <v>#REF!</v>
      </c>
      <c r="AF26" s="31" t="e">
        <f>IF(AND('Mapa final'!#REF!="Media",'Mapa final'!#REF!="Mayor"),CONCATENATE("R1C",'Mapa final'!#REF!),"")</f>
        <v>#REF!</v>
      </c>
      <c r="AG26" s="32" t="e">
        <f>IF(AND('Mapa final'!#REF!="Media",'Mapa final'!#REF!="Mayor"),CONCATENATE("R1C",'Mapa final'!#REF!),"")</f>
        <v>#REF!</v>
      </c>
      <c r="AH26" s="33" t="str">
        <f>IF(AND('Mapa final'!$AB$10="Media",'Mapa final'!$AD$10="Catastrófico"),CONCATENATE("R1C",'Mapa final'!$R$10),"")</f>
        <v/>
      </c>
      <c r="AI26" s="34" t="str">
        <f>IF(AND('Mapa final'!$AB$11="Media",'Mapa final'!$AD$11="Catastrófico"),CONCATENATE("R1C",'Mapa final'!$R$11),"")</f>
        <v/>
      </c>
      <c r="AJ26" s="34" t="e">
        <f>IF(AND('Mapa final'!#REF!="Media",'Mapa final'!#REF!="Catastrófico"),CONCATENATE("R1C",'Mapa final'!#REF!),"")</f>
        <v>#REF!</v>
      </c>
      <c r="AK26" s="34" t="e">
        <f>IF(AND('Mapa final'!#REF!="Media",'Mapa final'!#REF!="Catastrófico"),CONCATENATE("R1C",'Mapa final'!#REF!),"")</f>
        <v>#REF!</v>
      </c>
      <c r="AL26" s="34" t="e">
        <f>IF(AND('Mapa final'!#REF!="Media",'Mapa final'!#REF!="Catastrófico"),CONCATENATE("R1C",'Mapa final'!#REF!),"")</f>
        <v>#REF!</v>
      </c>
      <c r="AM26" s="35" t="e">
        <f>IF(AND('Mapa final'!#REF!="Media",'Mapa final'!#REF!="Catastrófico"),CONCATENATE("R1C",'Mapa final'!#REF!),"")</f>
        <v>#REF!</v>
      </c>
      <c r="AN26" s="67"/>
      <c r="AO26" s="610" t="s">
        <v>80</v>
      </c>
      <c r="AP26" s="611"/>
      <c r="AQ26" s="611"/>
      <c r="AR26" s="611"/>
      <c r="AS26" s="611"/>
      <c r="AT26" s="612"/>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row>
    <row r="27" spans="1:76" ht="15" customHeight="1" x14ac:dyDescent="0.3">
      <c r="A27" s="67"/>
      <c r="B27" s="532"/>
      <c r="C27" s="532"/>
      <c r="D27" s="533"/>
      <c r="E27" s="589"/>
      <c r="F27" s="574"/>
      <c r="G27" s="574"/>
      <c r="H27" s="574"/>
      <c r="I27" s="575"/>
      <c r="J27" s="51" t="str">
        <f>IF(AND('Mapa final'!$AB$12="Media",'Mapa final'!$AD$12="Leve"),CONCATENATE("R2C",'Mapa final'!$R$12),"")</f>
        <v/>
      </c>
      <c r="K27" s="52" t="str">
        <f>IF(AND('Mapa final'!$AB$13="Media",'Mapa final'!$AD$13="Leve"),CONCATENATE("R2C",'Mapa final'!$R$13),"")</f>
        <v/>
      </c>
      <c r="L27" s="52" t="e">
        <f>IF(AND('Mapa final'!#REF!="Media",'Mapa final'!#REF!="Leve"),CONCATENATE("R2C",'Mapa final'!#REF!),"")</f>
        <v>#REF!</v>
      </c>
      <c r="M27" s="52" t="e">
        <f>IF(AND('Mapa final'!#REF!="Media",'Mapa final'!#REF!="Leve"),CONCATENATE("R2C",'Mapa final'!#REF!),"")</f>
        <v>#REF!</v>
      </c>
      <c r="N27" s="52" t="e">
        <f>IF(AND('Mapa final'!#REF!="Media",'Mapa final'!#REF!="Leve"),CONCATENATE("R2C",'Mapa final'!#REF!),"")</f>
        <v>#REF!</v>
      </c>
      <c r="O27" s="53" t="e">
        <f>IF(AND('Mapa final'!#REF!="Media",'Mapa final'!#REF!="Leve"),CONCATENATE("R2C",'Mapa final'!#REF!),"")</f>
        <v>#REF!</v>
      </c>
      <c r="P27" s="51" t="str">
        <f>IF(AND('Mapa final'!$AB$12="Media",'Mapa final'!$AD$12="Menor"),CONCATENATE("R2C",'Mapa final'!$R$12),"")</f>
        <v/>
      </c>
      <c r="Q27" s="52" t="str">
        <f>IF(AND('Mapa final'!$AB$13="Media",'Mapa final'!$AD$13="Menor"),CONCATENATE("R2C",'Mapa final'!$R$13),"")</f>
        <v/>
      </c>
      <c r="R27" s="52" t="e">
        <f>IF(AND('Mapa final'!#REF!="Media",'Mapa final'!#REF!="Menor"),CONCATENATE("R2C",'Mapa final'!#REF!),"")</f>
        <v>#REF!</v>
      </c>
      <c r="S27" s="52" t="e">
        <f>IF(AND('Mapa final'!#REF!="Media",'Mapa final'!#REF!="Menor"),CONCATENATE("R2C",'Mapa final'!#REF!),"")</f>
        <v>#REF!</v>
      </c>
      <c r="T27" s="52" t="e">
        <f>IF(AND('Mapa final'!#REF!="Media",'Mapa final'!#REF!="Menor"),CONCATENATE("R2C",'Mapa final'!#REF!),"")</f>
        <v>#REF!</v>
      </c>
      <c r="U27" s="53" t="e">
        <f>IF(AND('Mapa final'!#REF!="Media",'Mapa final'!#REF!="Menor"),CONCATENATE("R2C",'Mapa final'!#REF!),"")</f>
        <v>#REF!</v>
      </c>
      <c r="V27" s="51" t="str">
        <f>IF(AND('Mapa final'!$AB$12="Media",'Mapa final'!$AD$12="Moderado"),CONCATENATE("R2C",'Mapa final'!$R$12),"")</f>
        <v/>
      </c>
      <c r="W27" s="52" t="str">
        <f>IF(AND('Mapa final'!$AB$13="Media",'Mapa final'!$AD$13="Moderado"),CONCATENATE("R2C",'Mapa final'!$R$13),"")</f>
        <v/>
      </c>
      <c r="X27" s="52" t="e">
        <f>IF(AND('Mapa final'!#REF!="Media",'Mapa final'!#REF!="Moderado"),CONCATENATE("R2C",'Mapa final'!#REF!),"")</f>
        <v>#REF!</v>
      </c>
      <c r="Y27" s="52" t="e">
        <f>IF(AND('Mapa final'!#REF!="Media",'Mapa final'!#REF!="Moderado"),CONCATENATE("R2C",'Mapa final'!#REF!),"")</f>
        <v>#REF!</v>
      </c>
      <c r="Z27" s="52" t="e">
        <f>IF(AND('Mapa final'!#REF!="Media",'Mapa final'!#REF!="Moderado"),CONCATENATE("R2C",'Mapa final'!#REF!),"")</f>
        <v>#REF!</v>
      </c>
      <c r="AA27" s="53" t="e">
        <f>IF(AND('Mapa final'!#REF!="Media",'Mapa final'!#REF!="Moderado"),CONCATENATE("R2C",'Mapa final'!#REF!),"")</f>
        <v>#REF!</v>
      </c>
      <c r="AB27" s="36" t="str">
        <f>IF(AND('Mapa final'!$AB$12="Media",'Mapa final'!$AD$12="Mayor"),CONCATENATE("R2C",'Mapa final'!$R$12),"")</f>
        <v/>
      </c>
      <c r="AC27" s="37" t="str">
        <f>IF(AND('Mapa final'!$AB$13="Media",'Mapa final'!$AD$13="Mayor"),CONCATENATE("R2C",'Mapa final'!$R$13),"")</f>
        <v/>
      </c>
      <c r="AD27" s="37" t="e">
        <f>IF(AND('Mapa final'!#REF!="Media",'Mapa final'!#REF!="Mayor"),CONCATENATE("R2C",'Mapa final'!#REF!),"")</f>
        <v>#REF!</v>
      </c>
      <c r="AE27" s="37" t="e">
        <f>IF(AND('Mapa final'!#REF!="Media",'Mapa final'!#REF!="Mayor"),CONCATENATE("R2C",'Mapa final'!#REF!),"")</f>
        <v>#REF!</v>
      </c>
      <c r="AF27" s="37" t="e">
        <f>IF(AND('Mapa final'!#REF!="Media",'Mapa final'!#REF!="Mayor"),CONCATENATE("R2C",'Mapa final'!#REF!),"")</f>
        <v>#REF!</v>
      </c>
      <c r="AG27" s="38" t="e">
        <f>IF(AND('Mapa final'!#REF!="Media",'Mapa final'!#REF!="Mayor"),CONCATENATE("R2C",'Mapa final'!#REF!),"")</f>
        <v>#REF!</v>
      </c>
      <c r="AH27" s="39" t="str">
        <f>IF(AND('Mapa final'!$AB$12="Media",'Mapa final'!$AD$12="Catastrófico"),CONCATENATE("R2C",'Mapa final'!$R$12),"")</f>
        <v/>
      </c>
      <c r="AI27" s="40" t="str">
        <f>IF(AND('Mapa final'!$AB$13="Media",'Mapa final'!$AD$13="Catastrófico"),CONCATENATE("R2C",'Mapa final'!$R$13),"")</f>
        <v/>
      </c>
      <c r="AJ27" s="40" t="e">
        <f>IF(AND('Mapa final'!#REF!="Media",'Mapa final'!#REF!="Catastrófico"),CONCATENATE("R2C",'Mapa final'!#REF!),"")</f>
        <v>#REF!</v>
      </c>
      <c r="AK27" s="40" t="e">
        <f>IF(AND('Mapa final'!#REF!="Media",'Mapa final'!#REF!="Catastrófico"),CONCATENATE("R2C",'Mapa final'!#REF!),"")</f>
        <v>#REF!</v>
      </c>
      <c r="AL27" s="40" t="e">
        <f>IF(AND('Mapa final'!#REF!="Media",'Mapa final'!#REF!="Catastrófico"),CONCATENATE("R2C",'Mapa final'!#REF!),"")</f>
        <v>#REF!</v>
      </c>
      <c r="AM27" s="41" t="e">
        <f>IF(AND('Mapa final'!#REF!="Media",'Mapa final'!#REF!="Catastrófico"),CONCATENATE("R2C",'Mapa final'!#REF!),"")</f>
        <v>#REF!</v>
      </c>
      <c r="AN27" s="67"/>
      <c r="AO27" s="613"/>
      <c r="AP27" s="614"/>
      <c r="AQ27" s="614"/>
      <c r="AR27" s="614"/>
      <c r="AS27" s="614"/>
      <c r="AT27" s="615"/>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row>
    <row r="28" spans="1:76" ht="15" customHeight="1" x14ac:dyDescent="0.3">
      <c r="A28" s="67"/>
      <c r="B28" s="532"/>
      <c r="C28" s="532"/>
      <c r="D28" s="533"/>
      <c r="E28" s="573"/>
      <c r="F28" s="574"/>
      <c r="G28" s="574"/>
      <c r="H28" s="574"/>
      <c r="I28" s="575"/>
      <c r="J28" s="51" t="str">
        <f>IF(AND('Mapa final'!$AB$14="Media",'Mapa final'!$AD$14="Leve"),CONCATENATE("R3C",'Mapa final'!$R$14),"")</f>
        <v/>
      </c>
      <c r="K28" s="52" t="str">
        <f>IF(AND('Mapa final'!$AB$15="Media",'Mapa final'!$AD$15="Leve"),CONCATENATE("R3C",'Mapa final'!$R$15),"")</f>
        <v/>
      </c>
      <c r="L28" s="52" t="e">
        <f>IF(AND('Mapa final'!#REF!="Media",'Mapa final'!#REF!="Leve"),CONCATENATE("R3C",'Mapa final'!#REF!),"")</f>
        <v>#REF!</v>
      </c>
      <c r="M28" s="52" t="e">
        <f>IF(AND('Mapa final'!#REF!="Media",'Mapa final'!#REF!="Leve"),CONCATENATE("R3C",'Mapa final'!#REF!),"")</f>
        <v>#REF!</v>
      </c>
      <c r="N28" s="52" t="e">
        <f>IF(AND('Mapa final'!#REF!="Media",'Mapa final'!#REF!="Leve"),CONCATENATE("R3C",'Mapa final'!#REF!),"")</f>
        <v>#REF!</v>
      </c>
      <c r="O28" s="53" t="e">
        <f>IF(AND('Mapa final'!#REF!="Media",'Mapa final'!#REF!="Leve"),CONCATENATE("R3C",'Mapa final'!#REF!),"")</f>
        <v>#REF!</v>
      </c>
      <c r="P28" s="51" t="str">
        <f>IF(AND('Mapa final'!$AB$14="Media",'Mapa final'!$AD$14="Menor"),CONCATENATE("R3C",'Mapa final'!$R$14),"")</f>
        <v/>
      </c>
      <c r="Q28" s="52" t="str">
        <f>IF(AND('Mapa final'!$AB$15="Media",'Mapa final'!$AD$15="Menor"),CONCATENATE("R3C",'Mapa final'!$R$15),"")</f>
        <v/>
      </c>
      <c r="R28" s="52" t="e">
        <f>IF(AND('Mapa final'!#REF!="Media",'Mapa final'!#REF!="Menor"),CONCATENATE("R3C",'Mapa final'!#REF!),"")</f>
        <v>#REF!</v>
      </c>
      <c r="S28" s="52" t="e">
        <f>IF(AND('Mapa final'!#REF!="Media",'Mapa final'!#REF!="Menor"),CONCATENATE("R3C",'Mapa final'!#REF!),"")</f>
        <v>#REF!</v>
      </c>
      <c r="T28" s="52" t="e">
        <f>IF(AND('Mapa final'!#REF!="Media",'Mapa final'!#REF!="Menor"),CONCATENATE("R3C",'Mapa final'!#REF!),"")</f>
        <v>#REF!</v>
      </c>
      <c r="U28" s="53" t="e">
        <f>IF(AND('Mapa final'!#REF!="Media",'Mapa final'!#REF!="Menor"),CONCATENATE("R3C",'Mapa final'!#REF!),"")</f>
        <v>#REF!</v>
      </c>
      <c r="V28" s="51" t="str">
        <f>IF(AND('Mapa final'!$AB$14="Media",'Mapa final'!$AD$14="Moderado"),CONCATENATE("R3C",'Mapa final'!$R$14),"")</f>
        <v/>
      </c>
      <c r="W28" s="52" t="str">
        <f>IF(AND('Mapa final'!$AB$15="Media",'Mapa final'!$AD$15="Moderado"),CONCATENATE("R3C",'Mapa final'!$R$15),"")</f>
        <v/>
      </c>
      <c r="X28" s="52" t="e">
        <f>IF(AND('Mapa final'!#REF!="Media",'Mapa final'!#REF!="Moderado"),CONCATENATE("R3C",'Mapa final'!#REF!),"")</f>
        <v>#REF!</v>
      </c>
      <c r="Y28" s="52" t="e">
        <f>IF(AND('Mapa final'!#REF!="Media",'Mapa final'!#REF!="Moderado"),CONCATENATE("R3C",'Mapa final'!#REF!),"")</f>
        <v>#REF!</v>
      </c>
      <c r="Z28" s="52" t="e">
        <f>IF(AND('Mapa final'!#REF!="Media",'Mapa final'!#REF!="Moderado"),CONCATENATE("R3C",'Mapa final'!#REF!),"")</f>
        <v>#REF!</v>
      </c>
      <c r="AA28" s="53" t="e">
        <f>IF(AND('Mapa final'!#REF!="Media",'Mapa final'!#REF!="Moderado"),CONCATENATE("R3C",'Mapa final'!#REF!),"")</f>
        <v>#REF!</v>
      </c>
      <c r="AB28" s="36" t="str">
        <f>IF(AND('Mapa final'!$AB$14="Media",'Mapa final'!$AD$14="Mayor"),CONCATENATE("R3C",'Mapa final'!$R$14),"")</f>
        <v/>
      </c>
      <c r="AC28" s="37" t="str">
        <f>IF(AND('Mapa final'!$AB$15="Media",'Mapa final'!$AD$15="Mayor"),CONCATENATE("R3C",'Mapa final'!$R$15),"")</f>
        <v/>
      </c>
      <c r="AD28" s="37" t="e">
        <f>IF(AND('Mapa final'!#REF!="Media",'Mapa final'!#REF!="Mayor"),CONCATENATE("R3C",'Mapa final'!#REF!),"")</f>
        <v>#REF!</v>
      </c>
      <c r="AE28" s="37" t="e">
        <f>IF(AND('Mapa final'!#REF!="Media",'Mapa final'!#REF!="Mayor"),CONCATENATE("R3C",'Mapa final'!#REF!),"")</f>
        <v>#REF!</v>
      </c>
      <c r="AF28" s="37" t="e">
        <f>IF(AND('Mapa final'!#REF!="Media",'Mapa final'!#REF!="Mayor"),CONCATENATE("R3C",'Mapa final'!#REF!),"")</f>
        <v>#REF!</v>
      </c>
      <c r="AG28" s="38" t="e">
        <f>IF(AND('Mapa final'!#REF!="Media",'Mapa final'!#REF!="Mayor"),CONCATENATE("R3C",'Mapa final'!#REF!),"")</f>
        <v>#REF!</v>
      </c>
      <c r="AH28" s="39" t="str">
        <f>IF(AND('Mapa final'!$AB$14="Media",'Mapa final'!$AD$14="Catastrófico"),CONCATENATE("R3C",'Mapa final'!$R$14),"")</f>
        <v/>
      </c>
      <c r="AI28" s="40" t="str">
        <f>IF(AND('Mapa final'!$AB$15="Media",'Mapa final'!$AD$15="Catastrófico"),CONCATENATE("R3C",'Mapa final'!$R$15),"")</f>
        <v/>
      </c>
      <c r="AJ28" s="40" t="e">
        <f>IF(AND('Mapa final'!#REF!="Media",'Mapa final'!#REF!="Catastrófico"),CONCATENATE("R3C",'Mapa final'!#REF!),"")</f>
        <v>#REF!</v>
      </c>
      <c r="AK28" s="40" t="e">
        <f>IF(AND('Mapa final'!#REF!="Media",'Mapa final'!#REF!="Catastrófico"),CONCATENATE("R3C",'Mapa final'!#REF!),"")</f>
        <v>#REF!</v>
      </c>
      <c r="AL28" s="40" t="e">
        <f>IF(AND('Mapa final'!#REF!="Media",'Mapa final'!#REF!="Catastrófico"),CONCATENATE("R3C",'Mapa final'!#REF!),"")</f>
        <v>#REF!</v>
      </c>
      <c r="AM28" s="41" t="e">
        <f>IF(AND('Mapa final'!#REF!="Media",'Mapa final'!#REF!="Catastrófico"),CONCATENATE("R3C",'Mapa final'!#REF!),"")</f>
        <v>#REF!</v>
      </c>
      <c r="AN28" s="67"/>
      <c r="AO28" s="613"/>
      <c r="AP28" s="614"/>
      <c r="AQ28" s="614"/>
      <c r="AR28" s="614"/>
      <c r="AS28" s="614"/>
      <c r="AT28" s="615"/>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row>
    <row r="29" spans="1:76" ht="15" customHeight="1" x14ac:dyDescent="0.3">
      <c r="A29" s="67"/>
      <c r="B29" s="532"/>
      <c r="C29" s="532"/>
      <c r="D29" s="533"/>
      <c r="E29" s="573"/>
      <c r="F29" s="574"/>
      <c r="G29" s="574"/>
      <c r="H29" s="574"/>
      <c r="I29" s="575"/>
      <c r="J29" s="51" t="str">
        <f>IF(AND('Mapa final'!$AB$16="Media",'Mapa final'!$AD$16="Leve"),CONCATENATE("R4C",'Mapa final'!$R$16),"")</f>
        <v/>
      </c>
      <c r="K29" s="52" t="str">
        <f>IF(AND('Mapa final'!$AB$17="Media",'Mapa final'!$AD$17="Leve"),CONCATENATE("R4C",'Mapa final'!$R$17),"")</f>
        <v/>
      </c>
      <c r="L29" s="52" t="str">
        <f>IF(AND('Mapa final'!$AB$18="Media",'Mapa final'!$AD$18="Leve"),CONCATENATE("R4C",'Mapa final'!$R$18),"")</f>
        <v/>
      </c>
      <c r="M29" s="52" t="str">
        <f>IF(AND('Mapa final'!$AB$19="Media",'Mapa final'!$AD$19="Leve"),CONCATENATE("R4C",'Mapa final'!$R$19),"")</f>
        <v/>
      </c>
      <c r="N29" s="52" t="str">
        <f>IF(AND('Mapa final'!$AB$20="Media",'Mapa final'!$AD$20="Leve"),CONCATENATE("R4C",'Mapa final'!$R$20),"")</f>
        <v/>
      </c>
      <c r="O29" s="53" t="str">
        <f>IF(AND('Mapa final'!$AB$21="Media",'Mapa final'!$AD$21="Leve"),CONCATENATE("R4C",'Mapa final'!$R$21),"")</f>
        <v/>
      </c>
      <c r="P29" s="51" t="str">
        <f>IF(AND('Mapa final'!$AB$16="Media",'Mapa final'!$AD$16="Menor"),CONCATENATE("R4C",'Mapa final'!$R$16),"")</f>
        <v/>
      </c>
      <c r="Q29" s="52" t="str">
        <f>IF(AND('Mapa final'!$AB$17="Media",'Mapa final'!$AD$17="Menor"),CONCATENATE("R4C",'Mapa final'!$R$17),"")</f>
        <v/>
      </c>
      <c r="R29" s="52" t="str">
        <f>IF(AND('Mapa final'!$AB$18="Media",'Mapa final'!$AD$18="Menor"),CONCATENATE("R4C",'Mapa final'!$R$18),"")</f>
        <v/>
      </c>
      <c r="S29" s="52" t="str">
        <f>IF(AND('Mapa final'!$AB$19="Media",'Mapa final'!$AD$19="Menor"),CONCATENATE("R4C",'Mapa final'!$R$19),"")</f>
        <v/>
      </c>
      <c r="T29" s="52" t="str">
        <f>IF(AND('Mapa final'!$AB$20="Media",'Mapa final'!$AD$20="Menor"),CONCATENATE("R4C",'Mapa final'!$R$20),"")</f>
        <v/>
      </c>
      <c r="U29" s="53" t="str">
        <f>IF(AND('Mapa final'!$AB$21="Media",'Mapa final'!$AD$21="Menor"),CONCATENATE("R4C",'Mapa final'!$R$21),"")</f>
        <v/>
      </c>
      <c r="V29" s="51" t="str">
        <f>IF(AND('Mapa final'!$AB$16="Media",'Mapa final'!$AD$16="Moderado"),CONCATENATE("R4C",'Mapa final'!$R$16),"")</f>
        <v/>
      </c>
      <c r="W29" s="52" t="str">
        <f>IF(AND('Mapa final'!$AB$17="Media",'Mapa final'!$AD$17="Moderado"),CONCATENATE("R4C",'Mapa final'!$R$17),"")</f>
        <v/>
      </c>
      <c r="X29" s="52" t="str">
        <f>IF(AND('Mapa final'!$AB$18="Media",'Mapa final'!$AD$18="Moderado"),CONCATENATE("R4C",'Mapa final'!$R$18),"")</f>
        <v/>
      </c>
      <c r="Y29" s="52" t="str">
        <f>IF(AND('Mapa final'!$AB$19="Media",'Mapa final'!$AD$19="Moderado"),CONCATENATE("R4C",'Mapa final'!$R$19),"")</f>
        <v/>
      </c>
      <c r="Z29" s="52" t="str">
        <f>IF(AND('Mapa final'!$AB$20="Media",'Mapa final'!$AD$20="Moderado"),CONCATENATE("R4C",'Mapa final'!$R$20),"")</f>
        <v/>
      </c>
      <c r="AA29" s="53" t="str">
        <f>IF(AND('Mapa final'!$AB$21="Media",'Mapa final'!$AD$21="Moderado"),CONCATENATE("R4C",'Mapa final'!$R$21),"")</f>
        <v/>
      </c>
      <c r="AB29" s="36" t="str">
        <f>IF(AND('Mapa final'!$AB$16="Media",'Mapa final'!$AD$16="Mayor"),CONCATENATE("R4C",'Mapa final'!$R$16),"")</f>
        <v/>
      </c>
      <c r="AC29" s="37" t="str">
        <f>IF(AND('Mapa final'!$AB$17="Media",'Mapa final'!$AD$17="Mayor"),CONCATENATE("R4C",'Mapa final'!$R$17),"")</f>
        <v/>
      </c>
      <c r="AD29" s="37" t="str">
        <f>IF(AND('Mapa final'!$AB$18="Media",'Mapa final'!$AD$18="Mayor"),CONCATENATE("R4C",'Mapa final'!$R$18),"")</f>
        <v/>
      </c>
      <c r="AE29" s="37" t="str">
        <f>IF(AND('Mapa final'!$AB$19="Media",'Mapa final'!$AD$19="Mayor"),CONCATENATE("R4C",'Mapa final'!$R$19),"")</f>
        <v/>
      </c>
      <c r="AF29" s="37" t="str">
        <f>IF(AND('Mapa final'!$AB$20="Media",'Mapa final'!$AD$20="Mayor"),CONCATENATE("R4C",'Mapa final'!$R$20),"")</f>
        <v/>
      </c>
      <c r="AG29" s="38" t="str">
        <f>IF(AND('Mapa final'!$AB$21="Media",'Mapa final'!$AD$21="Mayor"),CONCATENATE("R4C",'Mapa final'!$R$21),"")</f>
        <v/>
      </c>
      <c r="AH29" s="39" t="str">
        <f>IF(AND('Mapa final'!$AB$16="Media",'Mapa final'!$AD$16="Catastrófico"),CONCATENATE("R4C",'Mapa final'!$R$16),"")</f>
        <v/>
      </c>
      <c r="AI29" s="40" t="str">
        <f>IF(AND('Mapa final'!$AB$17="Media",'Mapa final'!$AD$17="Catastrófico"),CONCATENATE("R4C",'Mapa final'!$R$17),"")</f>
        <v/>
      </c>
      <c r="AJ29" s="40" t="str">
        <f>IF(AND('Mapa final'!$AB$18="Media",'Mapa final'!$AD$18="Catastrófico"),CONCATENATE("R4C",'Mapa final'!$R$18),"")</f>
        <v/>
      </c>
      <c r="AK29" s="40" t="str">
        <f>IF(AND('Mapa final'!$AB$19="Media",'Mapa final'!$AD$19="Catastrófico"),CONCATENATE("R4C",'Mapa final'!$R$19),"")</f>
        <v/>
      </c>
      <c r="AL29" s="40" t="str">
        <f>IF(AND('Mapa final'!$AB$20="Media",'Mapa final'!$AD$20="Catastrófico"),CONCATENATE("R4C",'Mapa final'!$R$20),"")</f>
        <v/>
      </c>
      <c r="AM29" s="41" t="str">
        <f>IF(AND('Mapa final'!$AB$21="Media",'Mapa final'!$AD$21="Catastrófico"),CONCATENATE("R4C",'Mapa final'!$R$21),"")</f>
        <v/>
      </c>
      <c r="AN29" s="67"/>
      <c r="AO29" s="613"/>
      <c r="AP29" s="614"/>
      <c r="AQ29" s="614"/>
      <c r="AR29" s="614"/>
      <c r="AS29" s="614"/>
      <c r="AT29" s="615"/>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row>
    <row r="30" spans="1:76" ht="15" customHeight="1" x14ac:dyDescent="0.3">
      <c r="A30" s="67"/>
      <c r="B30" s="532"/>
      <c r="C30" s="532"/>
      <c r="D30" s="533"/>
      <c r="E30" s="573"/>
      <c r="F30" s="574"/>
      <c r="G30" s="574"/>
      <c r="H30" s="574"/>
      <c r="I30" s="575"/>
      <c r="J30" s="51" t="str">
        <f>IF(AND('Mapa final'!$AB$22="Media",'Mapa final'!$AD$22="Leve"),CONCATENATE("R5C",'Mapa final'!$R$22),"")</f>
        <v/>
      </c>
      <c r="K30" s="52" t="str">
        <f>IF(AND('Mapa final'!$AB$23="Media",'Mapa final'!$AD$23="Leve"),CONCATENATE("R5C",'Mapa final'!$R$23),"")</f>
        <v/>
      </c>
      <c r="L30" s="52" t="str">
        <f>IF(AND('Mapa final'!$AB$24="Media",'Mapa final'!$AD$24="Leve"),CONCATENATE("R5C",'Mapa final'!$R$24),"")</f>
        <v/>
      </c>
      <c r="M30" s="52" t="str">
        <f>IF(AND('Mapa final'!$AB$25="Media",'Mapa final'!$AD$25="Leve"),CONCATENATE("R5C",'Mapa final'!$R$25),"")</f>
        <v/>
      </c>
      <c r="N30" s="52" t="str">
        <f>IF(AND('Mapa final'!$AB$26="Media",'Mapa final'!$AD$26="Leve"),CONCATENATE("R5C",'Mapa final'!$R$26),"")</f>
        <v/>
      </c>
      <c r="O30" s="53" t="str">
        <f>IF(AND('Mapa final'!$AB$27="Media",'Mapa final'!$AD$27="Leve"),CONCATENATE("R5C",'Mapa final'!$R$27),"")</f>
        <v/>
      </c>
      <c r="P30" s="51" t="str">
        <f>IF(AND('Mapa final'!$AB$22="Media",'Mapa final'!$AD$22="Menor"),CONCATENATE("R5C",'Mapa final'!$R$22),"")</f>
        <v/>
      </c>
      <c r="Q30" s="52" t="str">
        <f>IF(AND('Mapa final'!$AB$23="Media",'Mapa final'!$AD$23="Menor"),CONCATENATE("R5C",'Mapa final'!$R$23),"")</f>
        <v/>
      </c>
      <c r="R30" s="52" t="str">
        <f>IF(AND('Mapa final'!$AB$24="Media",'Mapa final'!$AD$24="Menor"),CONCATENATE("R5C",'Mapa final'!$R$24),"")</f>
        <v/>
      </c>
      <c r="S30" s="52" t="str">
        <f>IF(AND('Mapa final'!$AB$25="Media",'Mapa final'!$AD$25="Menor"),CONCATENATE("R5C",'Mapa final'!$R$25),"")</f>
        <v/>
      </c>
      <c r="T30" s="52" t="str">
        <f>IF(AND('Mapa final'!$AB$26="Media",'Mapa final'!$AD$26="Menor"),CONCATENATE("R5C",'Mapa final'!$R$26),"")</f>
        <v/>
      </c>
      <c r="U30" s="53" t="str">
        <f>IF(AND('Mapa final'!$AB$27="Media",'Mapa final'!$AD$27="Menor"),CONCATENATE("R5C",'Mapa final'!$R$27),"")</f>
        <v/>
      </c>
      <c r="V30" s="51" t="str">
        <f>IF(AND('Mapa final'!$AB$22="Media",'Mapa final'!$AD$22="Moderado"),CONCATENATE("R5C",'Mapa final'!$R$22),"")</f>
        <v/>
      </c>
      <c r="W30" s="52" t="str">
        <f>IF(AND('Mapa final'!$AB$23="Media",'Mapa final'!$AD$23="Moderado"),CONCATENATE("R5C",'Mapa final'!$R$23),"")</f>
        <v/>
      </c>
      <c r="X30" s="52" t="str">
        <f>IF(AND('Mapa final'!$AB$24="Media",'Mapa final'!$AD$24="Moderado"),CONCATENATE("R5C",'Mapa final'!$R$24),"")</f>
        <v/>
      </c>
      <c r="Y30" s="52" t="str">
        <f>IF(AND('Mapa final'!$AB$25="Media",'Mapa final'!$AD$25="Moderado"),CONCATENATE("R5C",'Mapa final'!$R$25),"")</f>
        <v/>
      </c>
      <c r="Z30" s="52" t="str">
        <f>IF(AND('Mapa final'!$AB$26="Media",'Mapa final'!$AD$26="Moderado"),CONCATENATE("R5C",'Mapa final'!$R$26),"")</f>
        <v/>
      </c>
      <c r="AA30" s="53" t="str">
        <f>IF(AND('Mapa final'!$AB$27="Media",'Mapa final'!$AD$27="Moderado"),CONCATENATE("R5C",'Mapa final'!$R$27),"")</f>
        <v/>
      </c>
      <c r="AB30" s="36" t="str">
        <f>IF(AND('Mapa final'!$AB$22="Media",'Mapa final'!$AD$22="Mayor"),CONCATENATE("R5C",'Mapa final'!$R$22),"")</f>
        <v/>
      </c>
      <c r="AC30" s="37" t="str">
        <f>IF(AND('Mapa final'!$AB$23="Media",'Mapa final'!$AD$23="Mayor"),CONCATENATE("R5C",'Mapa final'!$R$23),"")</f>
        <v/>
      </c>
      <c r="AD30" s="37" t="str">
        <f>IF(AND('Mapa final'!$AB$24="Media",'Mapa final'!$AD$24="Mayor"),CONCATENATE("R5C",'Mapa final'!$R$24),"")</f>
        <v/>
      </c>
      <c r="AE30" s="37" t="str">
        <f>IF(AND('Mapa final'!$AB$25="Media",'Mapa final'!$AD$25="Mayor"),CONCATENATE("R5C",'Mapa final'!$R$25),"")</f>
        <v/>
      </c>
      <c r="AF30" s="37" t="str">
        <f>IF(AND('Mapa final'!$AB$26="Media",'Mapa final'!$AD$26="Mayor"),CONCATENATE("R5C",'Mapa final'!$R$26),"")</f>
        <v/>
      </c>
      <c r="AG30" s="38" t="str">
        <f>IF(AND('Mapa final'!$AB$27="Media",'Mapa final'!$AD$27="Mayor"),CONCATENATE("R5C",'Mapa final'!$R$27),"")</f>
        <v/>
      </c>
      <c r="AH30" s="39" t="str">
        <f>IF(AND('Mapa final'!$AB$22="Media",'Mapa final'!$AD$22="Catastrófico"),CONCATENATE("R5C",'Mapa final'!$R$22),"")</f>
        <v/>
      </c>
      <c r="AI30" s="40" t="str">
        <f>IF(AND('Mapa final'!$AB$23="Media",'Mapa final'!$AD$23="Catastrófico"),CONCATENATE("R5C",'Mapa final'!$R$23),"")</f>
        <v/>
      </c>
      <c r="AJ30" s="40" t="str">
        <f>IF(AND('Mapa final'!$AB$24="Media",'Mapa final'!$AD$24="Catastrófico"),CONCATENATE("R5C",'Mapa final'!$R$24),"")</f>
        <v/>
      </c>
      <c r="AK30" s="40" t="str">
        <f>IF(AND('Mapa final'!$AB$25="Media",'Mapa final'!$AD$25="Catastrófico"),CONCATENATE("R5C",'Mapa final'!$R$25),"")</f>
        <v/>
      </c>
      <c r="AL30" s="40" t="str">
        <f>IF(AND('Mapa final'!$AB$26="Media",'Mapa final'!$AD$26="Catastrófico"),CONCATENATE("R5C",'Mapa final'!$R$26),"")</f>
        <v/>
      </c>
      <c r="AM30" s="41" t="str">
        <f>IF(AND('Mapa final'!$AB$27="Media",'Mapa final'!$AD$27="Catastrófico"),CONCATENATE("R5C",'Mapa final'!$R$27),"")</f>
        <v/>
      </c>
      <c r="AN30" s="67"/>
      <c r="AO30" s="613"/>
      <c r="AP30" s="614"/>
      <c r="AQ30" s="614"/>
      <c r="AR30" s="614"/>
      <c r="AS30" s="614"/>
      <c r="AT30" s="615"/>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row>
    <row r="31" spans="1:76" ht="15" customHeight="1" x14ac:dyDescent="0.3">
      <c r="A31" s="67"/>
      <c r="B31" s="532"/>
      <c r="C31" s="532"/>
      <c r="D31" s="533"/>
      <c r="E31" s="573"/>
      <c r="F31" s="574"/>
      <c r="G31" s="574"/>
      <c r="H31" s="574"/>
      <c r="I31" s="575"/>
      <c r="J31" s="51" t="str">
        <f>IF(AND('Mapa final'!$AB$28="Media",'Mapa final'!$AD$28="Leve"),CONCATENATE("R6C",'Mapa final'!$R$28),"")</f>
        <v/>
      </c>
      <c r="K31" s="52" t="str">
        <f>IF(AND('Mapa final'!$AB$29="Media",'Mapa final'!$AD$29="Leve"),CONCATENATE("R6C",'Mapa final'!$R$29),"")</f>
        <v/>
      </c>
      <c r="L31" s="52" t="str">
        <f>IF(AND('Mapa final'!$AB$30="Media",'Mapa final'!$AD$30="Leve"),CONCATENATE("R6C",'Mapa final'!$R$30),"")</f>
        <v/>
      </c>
      <c r="M31" s="52" t="str">
        <f>IF(AND('Mapa final'!$AB$31="Media",'Mapa final'!$AD$31="Leve"),CONCATENATE("R6C",'Mapa final'!$R$31),"")</f>
        <v/>
      </c>
      <c r="N31" s="52" t="str">
        <f>IF(AND('Mapa final'!$AB$32="Media",'Mapa final'!$AD$32="Leve"),CONCATENATE("R6C",'Mapa final'!$R$32),"")</f>
        <v/>
      </c>
      <c r="O31" s="53" t="str">
        <f>IF(AND('Mapa final'!$AB$33="Media",'Mapa final'!$AD$33="Leve"),CONCATENATE("R6C",'Mapa final'!$R$33),"")</f>
        <v/>
      </c>
      <c r="P31" s="51" t="str">
        <f>IF(AND('Mapa final'!$AB$28="Media",'Mapa final'!$AD$28="Menor"),CONCATENATE("R6C",'Mapa final'!$R$28),"")</f>
        <v/>
      </c>
      <c r="Q31" s="52" t="str">
        <f>IF(AND('Mapa final'!$AB$29="Media",'Mapa final'!$AD$29="Menor"),CONCATENATE("R6C",'Mapa final'!$R$29),"")</f>
        <v/>
      </c>
      <c r="R31" s="52" t="str">
        <f>IF(AND('Mapa final'!$AB$30="Media",'Mapa final'!$AD$30="Menor"),CONCATENATE("R6C",'Mapa final'!$R$30),"")</f>
        <v/>
      </c>
      <c r="S31" s="52" t="str">
        <f>IF(AND('Mapa final'!$AB$31="Media",'Mapa final'!$AD$31="Menor"),CONCATENATE("R6C",'Mapa final'!$R$31),"")</f>
        <v/>
      </c>
      <c r="T31" s="52" t="str">
        <f>IF(AND('Mapa final'!$AB$32="Media",'Mapa final'!$AD$32="Menor"),CONCATENATE("R6C",'Mapa final'!$R$32),"")</f>
        <v/>
      </c>
      <c r="U31" s="53" t="str">
        <f>IF(AND('Mapa final'!$AB$33="Media",'Mapa final'!$AD$33="Menor"),CONCATENATE("R6C",'Mapa final'!$R$33),"")</f>
        <v/>
      </c>
      <c r="V31" s="51" t="str">
        <f>IF(AND('Mapa final'!$AB$28="Media",'Mapa final'!$AD$28="Moderado"),CONCATENATE("R6C",'Mapa final'!$R$28),"")</f>
        <v/>
      </c>
      <c r="W31" s="52" t="str">
        <f>IF(AND('Mapa final'!$AB$29="Media",'Mapa final'!$AD$29="Moderado"),CONCATENATE("R6C",'Mapa final'!$R$29),"")</f>
        <v/>
      </c>
      <c r="X31" s="52" t="str">
        <f>IF(AND('Mapa final'!$AB$30="Media",'Mapa final'!$AD$30="Moderado"),CONCATENATE("R6C",'Mapa final'!$R$30),"")</f>
        <v/>
      </c>
      <c r="Y31" s="52" t="str">
        <f>IF(AND('Mapa final'!$AB$31="Media",'Mapa final'!$AD$31="Moderado"),CONCATENATE("R6C",'Mapa final'!$R$31),"")</f>
        <v/>
      </c>
      <c r="Z31" s="52" t="str">
        <f>IF(AND('Mapa final'!$AB$32="Media",'Mapa final'!$AD$32="Moderado"),CONCATENATE("R6C",'Mapa final'!$R$32),"")</f>
        <v/>
      </c>
      <c r="AA31" s="53" t="str">
        <f>IF(AND('Mapa final'!$AB$33="Media",'Mapa final'!$AD$33="Moderado"),CONCATENATE("R6C",'Mapa final'!$R$33),"")</f>
        <v/>
      </c>
      <c r="AB31" s="36" t="str">
        <f>IF(AND('Mapa final'!$AB$28="Media",'Mapa final'!$AD$28="Mayor"),CONCATENATE("R6C",'Mapa final'!$R$28),"")</f>
        <v/>
      </c>
      <c r="AC31" s="37" t="str">
        <f>IF(AND('Mapa final'!$AB$29="Media",'Mapa final'!$AD$29="Mayor"),CONCATENATE("R6C",'Mapa final'!$R$29),"")</f>
        <v/>
      </c>
      <c r="AD31" s="37" t="str">
        <f>IF(AND('Mapa final'!$AB$30="Media",'Mapa final'!$AD$30="Mayor"),CONCATENATE("R6C",'Mapa final'!$R$30),"")</f>
        <v/>
      </c>
      <c r="AE31" s="37" t="str">
        <f>IF(AND('Mapa final'!$AB$31="Media",'Mapa final'!$AD$31="Mayor"),CONCATENATE("R6C",'Mapa final'!$R$31),"")</f>
        <v/>
      </c>
      <c r="AF31" s="37" t="str">
        <f>IF(AND('Mapa final'!$AB$32="Media",'Mapa final'!$AD$32="Mayor"),CONCATENATE("R6C",'Mapa final'!$R$32),"")</f>
        <v/>
      </c>
      <c r="AG31" s="38" t="str">
        <f>IF(AND('Mapa final'!$AB$33="Media",'Mapa final'!$AD$33="Mayor"),CONCATENATE("R6C",'Mapa final'!$R$33),"")</f>
        <v/>
      </c>
      <c r="AH31" s="39" t="str">
        <f>IF(AND('Mapa final'!$AB$28="Media",'Mapa final'!$AD$28="Catastrófico"),CONCATENATE("R6C",'Mapa final'!$R$28),"")</f>
        <v/>
      </c>
      <c r="AI31" s="40" t="str">
        <f>IF(AND('Mapa final'!$AB$29="Media",'Mapa final'!$AD$29="Catastrófico"),CONCATENATE("R6C",'Mapa final'!$R$29),"")</f>
        <v/>
      </c>
      <c r="AJ31" s="40" t="str">
        <f>IF(AND('Mapa final'!$AB$30="Media",'Mapa final'!$AD$30="Catastrófico"),CONCATENATE("R6C",'Mapa final'!$R$30),"")</f>
        <v/>
      </c>
      <c r="AK31" s="40" t="str">
        <f>IF(AND('Mapa final'!$AB$31="Media",'Mapa final'!$AD$31="Catastrófico"),CONCATENATE("R6C",'Mapa final'!$R$31),"")</f>
        <v/>
      </c>
      <c r="AL31" s="40" t="str">
        <f>IF(AND('Mapa final'!$AB$32="Media",'Mapa final'!$AD$32="Catastrófico"),CONCATENATE("R6C",'Mapa final'!$R$32),"")</f>
        <v/>
      </c>
      <c r="AM31" s="41" t="str">
        <f>IF(AND('Mapa final'!$AB$33="Media",'Mapa final'!$AD$33="Catastrófico"),CONCATENATE("R6C",'Mapa final'!$R$33),"")</f>
        <v/>
      </c>
      <c r="AN31" s="67"/>
      <c r="AO31" s="613"/>
      <c r="AP31" s="614"/>
      <c r="AQ31" s="614"/>
      <c r="AR31" s="614"/>
      <c r="AS31" s="614"/>
      <c r="AT31" s="615"/>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row>
    <row r="32" spans="1:76" ht="15" customHeight="1" x14ac:dyDescent="0.3">
      <c r="A32" s="67"/>
      <c r="B32" s="532"/>
      <c r="C32" s="532"/>
      <c r="D32" s="533"/>
      <c r="E32" s="573"/>
      <c r="F32" s="574"/>
      <c r="G32" s="574"/>
      <c r="H32" s="574"/>
      <c r="I32" s="575"/>
      <c r="J32" s="51" t="str">
        <f>IF(AND('Mapa final'!$AB$34="Media",'Mapa final'!$AD$34="Leve"),CONCATENATE("R7C",'Mapa final'!$R$34),"")</f>
        <v/>
      </c>
      <c r="K32" s="52" t="str">
        <f>IF(AND('Mapa final'!$AB$35="Media",'Mapa final'!$AD$35="Leve"),CONCATENATE("R7C",'Mapa final'!$R$35),"")</f>
        <v/>
      </c>
      <c r="L32" s="52" t="str">
        <f>IF(AND('Mapa final'!$AB$36="Media",'Mapa final'!$AD$36="Leve"),CONCATENATE("R7C",'Mapa final'!$R$36),"")</f>
        <v/>
      </c>
      <c r="M32" s="52" t="str">
        <f>IF(AND('Mapa final'!$AB$37="Media",'Mapa final'!$AD$37="Leve"),CONCATENATE("R7C",'Mapa final'!$R$37),"")</f>
        <v/>
      </c>
      <c r="N32" s="52" t="str">
        <f>IF(AND('Mapa final'!$AB$38="Media",'Mapa final'!$AD$38="Leve"),CONCATENATE("R7C",'Mapa final'!$R$38),"")</f>
        <v/>
      </c>
      <c r="O32" s="53" t="str">
        <f>IF(AND('Mapa final'!$AB$39="Media",'Mapa final'!$AD$39="Leve"),CONCATENATE("R7C",'Mapa final'!$R$39),"")</f>
        <v/>
      </c>
      <c r="P32" s="51" t="str">
        <f>IF(AND('Mapa final'!$AB$34="Media",'Mapa final'!$AD$34="Menor"),CONCATENATE("R7C",'Mapa final'!$R$34),"")</f>
        <v/>
      </c>
      <c r="Q32" s="52" t="str">
        <f>IF(AND('Mapa final'!$AB$35="Media",'Mapa final'!$AD$35="Menor"),CONCATENATE("R7C",'Mapa final'!$R$35),"")</f>
        <v/>
      </c>
      <c r="R32" s="52" t="str">
        <f>IF(AND('Mapa final'!$AB$36="Media",'Mapa final'!$AD$36="Menor"),CONCATENATE("R7C",'Mapa final'!$R$36),"")</f>
        <v/>
      </c>
      <c r="S32" s="52" t="str">
        <f>IF(AND('Mapa final'!$AB$37="Media",'Mapa final'!$AD$37="Menor"),CONCATENATE("R7C",'Mapa final'!$R$37),"")</f>
        <v/>
      </c>
      <c r="T32" s="52" t="str">
        <f>IF(AND('Mapa final'!$AB$38="Media",'Mapa final'!$AD$38="Menor"),CONCATENATE("R7C",'Mapa final'!$R$38),"")</f>
        <v/>
      </c>
      <c r="U32" s="53" t="str">
        <f>IF(AND('Mapa final'!$AB$39="Media",'Mapa final'!$AD$39="Menor"),CONCATENATE("R7C",'Mapa final'!$R$39),"")</f>
        <v/>
      </c>
      <c r="V32" s="51" t="str">
        <f>IF(AND('Mapa final'!$AB$34="Media",'Mapa final'!$AD$34="Moderado"),CONCATENATE("R7C",'Mapa final'!$R$34),"")</f>
        <v/>
      </c>
      <c r="W32" s="52" t="str">
        <f>IF(AND('Mapa final'!$AB$35="Media",'Mapa final'!$AD$35="Moderado"),CONCATENATE("R7C",'Mapa final'!$R$35),"")</f>
        <v/>
      </c>
      <c r="X32" s="52" t="str">
        <f>IF(AND('Mapa final'!$AB$36="Media",'Mapa final'!$AD$36="Moderado"),CONCATENATE("R7C",'Mapa final'!$R$36),"")</f>
        <v/>
      </c>
      <c r="Y32" s="52" t="str">
        <f>IF(AND('Mapa final'!$AB$37="Media",'Mapa final'!$AD$37="Moderado"),CONCATENATE("R7C",'Mapa final'!$R$37),"")</f>
        <v/>
      </c>
      <c r="Z32" s="52" t="str">
        <f>IF(AND('Mapa final'!$AB$38="Media",'Mapa final'!$AD$38="Moderado"),CONCATENATE("R7C",'Mapa final'!$R$38),"")</f>
        <v/>
      </c>
      <c r="AA32" s="53" t="str">
        <f>IF(AND('Mapa final'!$AB$39="Media",'Mapa final'!$AD$39="Moderado"),CONCATENATE("R7C",'Mapa final'!$R$39),"")</f>
        <v/>
      </c>
      <c r="AB32" s="36" t="str">
        <f>IF(AND('Mapa final'!$AB$34="Media",'Mapa final'!$AD$34="Mayor"),CONCATENATE("R7C",'Mapa final'!$R$34),"")</f>
        <v/>
      </c>
      <c r="AC32" s="37" t="str">
        <f>IF(AND('Mapa final'!$AB$35="Media",'Mapa final'!$AD$35="Mayor"),CONCATENATE("R7C",'Mapa final'!$R$35),"")</f>
        <v/>
      </c>
      <c r="AD32" s="37" t="str">
        <f>IF(AND('Mapa final'!$AB$36="Media",'Mapa final'!$AD$36="Mayor"),CONCATENATE("R7C",'Mapa final'!$R$36),"")</f>
        <v/>
      </c>
      <c r="AE32" s="37" t="str">
        <f>IF(AND('Mapa final'!$AB$37="Media",'Mapa final'!$AD$37="Mayor"),CONCATENATE("R7C",'Mapa final'!$R$37),"")</f>
        <v/>
      </c>
      <c r="AF32" s="37" t="str">
        <f>IF(AND('Mapa final'!$AB$38="Media",'Mapa final'!$AD$38="Mayor"),CONCATENATE("R7C",'Mapa final'!$R$38),"")</f>
        <v/>
      </c>
      <c r="AG32" s="38" t="str">
        <f>IF(AND('Mapa final'!$AB$39="Media",'Mapa final'!$AD$39="Mayor"),CONCATENATE("R7C",'Mapa final'!$R$39),"")</f>
        <v/>
      </c>
      <c r="AH32" s="39" t="str">
        <f>IF(AND('Mapa final'!$AB$34="Media",'Mapa final'!$AD$34="Catastrófico"),CONCATENATE("R7C",'Mapa final'!$R$34),"")</f>
        <v/>
      </c>
      <c r="AI32" s="40" t="str">
        <f>IF(AND('Mapa final'!$AB$35="Media",'Mapa final'!$AD$35="Catastrófico"),CONCATENATE("R7C",'Mapa final'!$R$35),"")</f>
        <v/>
      </c>
      <c r="AJ32" s="40" t="str">
        <f>IF(AND('Mapa final'!$AB$36="Media",'Mapa final'!$AD$36="Catastrófico"),CONCATENATE("R7C",'Mapa final'!$R$36),"")</f>
        <v/>
      </c>
      <c r="AK32" s="40" t="str">
        <f>IF(AND('Mapa final'!$AB$37="Media",'Mapa final'!$AD$37="Catastrófico"),CONCATENATE("R7C",'Mapa final'!$R$37),"")</f>
        <v/>
      </c>
      <c r="AL32" s="40" t="str">
        <f>IF(AND('Mapa final'!$AB$38="Media",'Mapa final'!$AD$38="Catastrófico"),CONCATENATE("R7C",'Mapa final'!$R$38),"")</f>
        <v/>
      </c>
      <c r="AM32" s="41" t="str">
        <f>IF(AND('Mapa final'!$AB$39="Media",'Mapa final'!$AD$39="Catastrófico"),CONCATENATE("R7C",'Mapa final'!$R$39),"")</f>
        <v/>
      </c>
      <c r="AN32" s="67"/>
      <c r="AO32" s="613"/>
      <c r="AP32" s="614"/>
      <c r="AQ32" s="614"/>
      <c r="AR32" s="614"/>
      <c r="AS32" s="614"/>
      <c r="AT32" s="615"/>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row>
    <row r="33" spans="1:80" ht="15" customHeight="1" x14ac:dyDescent="0.3">
      <c r="A33" s="67"/>
      <c r="B33" s="532"/>
      <c r="C33" s="532"/>
      <c r="D33" s="533"/>
      <c r="E33" s="573"/>
      <c r="F33" s="574"/>
      <c r="G33" s="574"/>
      <c r="H33" s="574"/>
      <c r="I33" s="575"/>
      <c r="J33" s="51" t="str">
        <f>IF(AND('Mapa final'!$AB$40="Media",'Mapa final'!$AD$40="Leve"),CONCATENATE("R8C",'Mapa final'!$R$40),"")</f>
        <v/>
      </c>
      <c r="K33" s="52" t="str">
        <f>IF(AND('Mapa final'!$AB$41="Media",'Mapa final'!$AD$41="Leve"),CONCATENATE("R8C",'Mapa final'!$R$41),"")</f>
        <v/>
      </c>
      <c r="L33" s="52" t="str">
        <f>IF(AND('Mapa final'!$AB$42="Media",'Mapa final'!$AD$42="Leve"),CONCATENATE("R8C",'Mapa final'!$R$42),"")</f>
        <v/>
      </c>
      <c r="M33" s="52" t="str">
        <f>IF(AND('Mapa final'!$AB$43="Media",'Mapa final'!$AD$43="Leve"),CONCATENATE("R8C",'Mapa final'!$R$43),"")</f>
        <v/>
      </c>
      <c r="N33" s="52" t="str">
        <f>IF(AND('Mapa final'!$AB$44="Media",'Mapa final'!$AD$44="Leve"),CONCATENATE("R8C",'Mapa final'!$R$44),"")</f>
        <v/>
      </c>
      <c r="O33" s="53" t="str">
        <f>IF(AND('Mapa final'!$AB$45="Media",'Mapa final'!$AD$45="Leve"),CONCATENATE("R8C",'Mapa final'!$R$45),"")</f>
        <v/>
      </c>
      <c r="P33" s="51" t="str">
        <f>IF(AND('Mapa final'!$AB$40="Media",'Mapa final'!$AD$40="Menor"),CONCATENATE("R8C",'Mapa final'!$R$40),"")</f>
        <v/>
      </c>
      <c r="Q33" s="52" t="str">
        <f>IF(AND('Mapa final'!$AB$41="Media",'Mapa final'!$AD$41="Menor"),CONCATENATE("R8C",'Mapa final'!$R$41),"")</f>
        <v/>
      </c>
      <c r="R33" s="52" t="str">
        <f>IF(AND('Mapa final'!$AB$42="Media",'Mapa final'!$AD$42="Menor"),CONCATENATE("R8C",'Mapa final'!$R$42),"")</f>
        <v/>
      </c>
      <c r="S33" s="52" t="str">
        <f>IF(AND('Mapa final'!$AB$43="Media",'Mapa final'!$AD$43="Menor"),CONCATENATE("R8C",'Mapa final'!$R$43),"")</f>
        <v/>
      </c>
      <c r="T33" s="52" t="str">
        <f>IF(AND('Mapa final'!$AB$44="Media",'Mapa final'!$AD$44="Menor"),CONCATENATE("R8C",'Mapa final'!$R$44),"")</f>
        <v/>
      </c>
      <c r="U33" s="53" t="str">
        <f>IF(AND('Mapa final'!$AB$45="Media",'Mapa final'!$AD$45="Menor"),CONCATENATE("R8C",'Mapa final'!$R$45),"")</f>
        <v/>
      </c>
      <c r="V33" s="51" t="str">
        <f>IF(AND('Mapa final'!$AB$40="Media",'Mapa final'!$AD$40="Moderado"),CONCATENATE("R8C",'Mapa final'!$R$40),"")</f>
        <v/>
      </c>
      <c r="W33" s="52" t="str">
        <f>IF(AND('Mapa final'!$AB$41="Media",'Mapa final'!$AD$41="Moderado"),CONCATENATE("R8C",'Mapa final'!$R$41),"")</f>
        <v/>
      </c>
      <c r="X33" s="52" t="str">
        <f>IF(AND('Mapa final'!$AB$42="Media",'Mapa final'!$AD$42="Moderado"),CONCATENATE("R8C",'Mapa final'!$R$42),"")</f>
        <v/>
      </c>
      <c r="Y33" s="52" t="str">
        <f>IF(AND('Mapa final'!$AB$43="Media",'Mapa final'!$AD$43="Moderado"),CONCATENATE("R8C",'Mapa final'!$R$43),"")</f>
        <v/>
      </c>
      <c r="Z33" s="52" t="str">
        <f>IF(AND('Mapa final'!$AB$44="Media",'Mapa final'!$AD$44="Moderado"),CONCATENATE("R8C",'Mapa final'!$R$44),"")</f>
        <v/>
      </c>
      <c r="AA33" s="53" t="str">
        <f>IF(AND('Mapa final'!$AB$45="Media",'Mapa final'!$AD$45="Moderado"),CONCATENATE("R8C",'Mapa final'!$R$45),"")</f>
        <v/>
      </c>
      <c r="AB33" s="36" t="str">
        <f>IF(AND('Mapa final'!$AB$40="Media",'Mapa final'!$AD$40="Mayor"),CONCATENATE("R8C",'Mapa final'!$R$40),"")</f>
        <v/>
      </c>
      <c r="AC33" s="37" t="str">
        <f>IF(AND('Mapa final'!$AB$41="Media",'Mapa final'!$AD$41="Mayor"),CONCATENATE("R8C",'Mapa final'!$R$41),"")</f>
        <v/>
      </c>
      <c r="AD33" s="37" t="str">
        <f>IF(AND('Mapa final'!$AB$42="Media",'Mapa final'!$AD$42="Mayor"),CONCATENATE("R8C",'Mapa final'!$R$42),"")</f>
        <v/>
      </c>
      <c r="AE33" s="37" t="str">
        <f>IF(AND('Mapa final'!$AB$43="Media",'Mapa final'!$AD$43="Mayor"),CONCATENATE("R8C",'Mapa final'!$R$43),"")</f>
        <v/>
      </c>
      <c r="AF33" s="37" t="str">
        <f>IF(AND('Mapa final'!$AB$44="Media",'Mapa final'!$AD$44="Mayor"),CONCATENATE("R8C",'Mapa final'!$R$44),"")</f>
        <v/>
      </c>
      <c r="AG33" s="38" t="str">
        <f>IF(AND('Mapa final'!$AB$45="Media",'Mapa final'!$AD$45="Mayor"),CONCATENATE("R8C",'Mapa final'!$R$45),"")</f>
        <v/>
      </c>
      <c r="AH33" s="39" t="str">
        <f>IF(AND('Mapa final'!$AB$40="Media",'Mapa final'!$AD$40="Catastrófico"),CONCATENATE("R8C",'Mapa final'!$R$40),"")</f>
        <v/>
      </c>
      <c r="AI33" s="40" t="str">
        <f>IF(AND('Mapa final'!$AB$41="Media",'Mapa final'!$AD$41="Catastrófico"),CONCATENATE("R8C",'Mapa final'!$R$41),"")</f>
        <v/>
      </c>
      <c r="AJ33" s="40" t="str">
        <f>IF(AND('Mapa final'!$AB$42="Media",'Mapa final'!$AD$42="Catastrófico"),CONCATENATE("R8C",'Mapa final'!$R$42),"")</f>
        <v/>
      </c>
      <c r="AK33" s="40" t="str">
        <f>IF(AND('Mapa final'!$AB$43="Media",'Mapa final'!$AD$43="Catastrófico"),CONCATENATE("R8C",'Mapa final'!$R$43),"")</f>
        <v/>
      </c>
      <c r="AL33" s="40" t="str">
        <f>IF(AND('Mapa final'!$AB$44="Media",'Mapa final'!$AD$44="Catastrófico"),CONCATENATE("R8C",'Mapa final'!$R$44),"")</f>
        <v/>
      </c>
      <c r="AM33" s="41" t="str">
        <f>IF(AND('Mapa final'!$AB$45="Media",'Mapa final'!$AD$45="Catastrófico"),CONCATENATE("R8C",'Mapa final'!$R$45),"")</f>
        <v/>
      </c>
      <c r="AN33" s="67"/>
      <c r="AO33" s="613"/>
      <c r="AP33" s="614"/>
      <c r="AQ33" s="614"/>
      <c r="AR33" s="614"/>
      <c r="AS33" s="614"/>
      <c r="AT33" s="615"/>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row>
    <row r="34" spans="1:80" ht="15" customHeight="1" x14ac:dyDescent="0.3">
      <c r="A34" s="67"/>
      <c r="B34" s="532"/>
      <c r="C34" s="532"/>
      <c r="D34" s="533"/>
      <c r="E34" s="573"/>
      <c r="F34" s="574"/>
      <c r="G34" s="574"/>
      <c r="H34" s="574"/>
      <c r="I34" s="575"/>
      <c r="J34" s="51" t="str">
        <f>IF(AND('Mapa final'!$AB$46="Media",'Mapa final'!$AD$46="Leve"),CONCATENATE("R9C",'Mapa final'!$R$46),"")</f>
        <v/>
      </c>
      <c r="K34" s="52" t="str">
        <f>IF(AND('Mapa final'!$AB$47="Media",'Mapa final'!$AD$47="Leve"),CONCATENATE("R9C",'Mapa final'!$R$47),"")</f>
        <v/>
      </c>
      <c r="L34" s="52" t="str">
        <f>IF(AND('Mapa final'!$AB$48="Media",'Mapa final'!$AD$48="Leve"),CONCATENATE("R9C",'Mapa final'!$R$48),"")</f>
        <v/>
      </c>
      <c r="M34" s="52" t="str">
        <f>IF(AND('Mapa final'!$AB$49="Media",'Mapa final'!$AD$49="Leve"),CONCATENATE("R9C",'Mapa final'!$R$49),"")</f>
        <v/>
      </c>
      <c r="N34" s="52" t="str">
        <f>IF(AND('Mapa final'!$AB$50="Media",'Mapa final'!$AD$50="Leve"),CONCATENATE("R9C",'Mapa final'!$R$50),"")</f>
        <v/>
      </c>
      <c r="O34" s="53" t="str">
        <f>IF(AND('Mapa final'!$AB$51="Media",'Mapa final'!$AD$51="Leve"),CONCATENATE("R9C",'Mapa final'!$R$51),"")</f>
        <v/>
      </c>
      <c r="P34" s="51" t="str">
        <f>IF(AND('Mapa final'!$AB$46="Media",'Mapa final'!$AD$46="Menor"),CONCATENATE("R9C",'Mapa final'!$R$46),"")</f>
        <v/>
      </c>
      <c r="Q34" s="52" t="str">
        <f>IF(AND('Mapa final'!$AB$47="Media",'Mapa final'!$AD$47="Menor"),CONCATENATE("R9C",'Mapa final'!$R$47),"")</f>
        <v/>
      </c>
      <c r="R34" s="52" t="str">
        <f>IF(AND('Mapa final'!$AB$48="Media",'Mapa final'!$AD$48="Menor"),CONCATENATE("R9C",'Mapa final'!$R$48),"")</f>
        <v/>
      </c>
      <c r="S34" s="52" t="str">
        <f>IF(AND('Mapa final'!$AB$49="Media",'Mapa final'!$AD$49="Menor"),CONCATENATE("R9C",'Mapa final'!$R$49),"")</f>
        <v/>
      </c>
      <c r="T34" s="52" t="str">
        <f>IF(AND('Mapa final'!$AB$50="Media",'Mapa final'!$AD$50="Menor"),CONCATENATE("R9C",'Mapa final'!$R$50),"")</f>
        <v/>
      </c>
      <c r="U34" s="53" t="str">
        <f>IF(AND('Mapa final'!$AB$51="Media",'Mapa final'!$AD$51="Menor"),CONCATENATE("R9C",'Mapa final'!$R$51),"")</f>
        <v/>
      </c>
      <c r="V34" s="51" t="str">
        <f>IF(AND('Mapa final'!$AB$46="Media",'Mapa final'!$AD$46="Moderado"),CONCATENATE("R9C",'Mapa final'!$R$46),"")</f>
        <v/>
      </c>
      <c r="W34" s="52" t="str">
        <f>IF(AND('Mapa final'!$AB$47="Media",'Mapa final'!$AD$47="Moderado"),CONCATENATE("R9C",'Mapa final'!$R$47),"")</f>
        <v/>
      </c>
      <c r="X34" s="52" t="str">
        <f>IF(AND('Mapa final'!$AB$48="Media",'Mapa final'!$AD$48="Moderado"),CONCATENATE("R9C",'Mapa final'!$R$48),"")</f>
        <v/>
      </c>
      <c r="Y34" s="52" t="str">
        <f>IF(AND('Mapa final'!$AB$49="Media",'Mapa final'!$AD$49="Moderado"),CONCATENATE("R9C",'Mapa final'!$R$49),"")</f>
        <v/>
      </c>
      <c r="Z34" s="52" t="str">
        <f>IF(AND('Mapa final'!$AB$50="Media",'Mapa final'!$AD$50="Moderado"),CONCATENATE("R9C",'Mapa final'!$R$50),"")</f>
        <v/>
      </c>
      <c r="AA34" s="53" t="str">
        <f>IF(AND('Mapa final'!$AB$51="Media",'Mapa final'!$AD$51="Moderado"),CONCATENATE("R9C",'Mapa final'!$R$51),"")</f>
        <v/>
      </c>
      <c r="AB34" s="36" t="str">
        <f>IF(AND('Mapa final'!$AB$46="Media",'Mapa final'!$AD$46="Mayor"),CONCATENATE("R9C",'Mapa final'!$R$46),"")</f>
        <v/>
      </c>
      <c r="AC34" s="37" t="str">
        <f>IF(AND('Mapa final'!$AB$47="Media",'Mapa final'!$AD$47="Mayor"),CONCATENATE("R9C",'Mapa final'!$R$47),"")</f>
        <v/>
      </c>
      <c r="AD34" s="37" t="str">
        <f>IF(AND('Mapa final'!$AB$48="Media",'Mapa final'!$AD$48="Mayor"),CONCATENATE("R9C",'Mapa final'!$R$48),"")</f>
        <v/>
      </c>
      <c r="AE34" s="37" t="str">
        <f>IF(AND('Mapa final'!$AB$49="Media",'Mapa final'!$AD$49="Mayor"),CONCATENATE("R9C",'Mapa final'!$R$49),"")</f>
        <v/>
      </c>
      <c r="AF34" s="37" t="str">
        <f>IF(AND('Mapa final'!$AB$50="Media",'Mapa final'!$AD$50="Mayor"),CONCATENATE("R9C",'Mapa final'!$R$50),"")</f>
        <v/>
      </c>
      <c r="AG34" s="38" t="str">
        <f>IF(AND('Mapa final'!$AB$51="Media",'Mapa final'!$AD$51="Mayor"),CONCATENATE("R9C",'Mapa final'!$R$51),"")</f>
        <v/>
      </c>
      <c r="AH34" s="39" t="str">
        <f>IF(AND('Mapa final'!$AB$46="Media",'Mapa final'!$AD$46="Catastrófico"),CONCATENATE("R9C",'Mapa final'!$R$46),"")</f>
        <v/>
      </c>
      <c r="AI34" s="40" t="str">
        <f>IF(AND('Mapa final'!$AB$47="Media",'Mapa final'!$AD$47="Catastrófico"),CONCATENATE("R9C",'Mapa final'!$R$47),"")</f>
        <v/>
      </c>
      <c r="AJ34" s="40" t="str">
        <f>IF(AND('Mapa final'!$AB$48="Media",'Mapa final'!$AD$48="Catastrófico"),CONCATENATE("R9C",'Mapa final'!$R$48),"")</f>
        <v/>
      </c>
      <c r="AK34" s="40" t="str">
        <f>IF(AND('Mapa final'!$AB$49="Media",'Mapa final'!$AD$49="Catastrófico"),CONCATENATE("R9C",'Mapa final'!$R$49),"")</f>
        <v/>
      </c>
      <c r="AL34" s="40" t="str">
        <f>IF(AND('Mapa final'!$AB$50="Media",'Mapa final'!$AD$50="Catastrófico"),CONCATENATE("R9C",'Mapa final'!$R$50),"")</f>
        <v/>
      </c>
      <c r="AM34" s="41" t="str">
        <f>IF(AND('Mapa final'!$AB$51="Media",'Mapa final'!$AD$51="Catastrófico"),CONCATENATE("R9C",'Mapa final'!$R$51),"")</f>
        <v/>
      </c>
      <c r="AN34" s="67"/>
      <c r="AO34" s="613"/>
      <c r="AP34" s="614"/>
      <c r="AQ34" s="614"/>
      <c r="AR34" s="614"/>
      <c r="AS34" s="614"/>
      <c r="AT34" s="615"/>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row>
    <row r="35" spans="1:80" ht="15.75" customHeight="1" thickBot="1" x14ac:dyDescent="0.35">
      <c r="A35" s="67"/>
      <c r="B35" s="532"/>
      <c r="C35" s="532"/>
      <c r="D35" s="533"/>
      <c r="E35" s="576"/>
      <c r="F35" s="577"/>
      <c r="G35" s="577"/>
      <c r="H35" s="577"/>
      <c r="I35" s="578"/>
      <c r="J35" s="51" t="str">
        <f>IF(AND('Mapa final'!$AB$52="Media",'Mapa final'!$AD$52="Leve"),CONCATENATE("R10C",'Mapa final'!$R$52),"")</f>
        <v/>
      </c>
      <c r="K35" s="52" t="str">
        <f>IF(AND('Mapa final'!$AB$53="Media",'Mapa final'!$AD$53="Leve"),CONCATENATE("R10C",'Mapa final'!$R$53),"")</f>
        <v/>
      </c>
      <c r="L35" s="52" t="str">
        <f>IF(AND('Mapa final'!$AB$54="Media",'Mapa final'!$AD$54="Leve"),CONCATENATE("R10C",'Mapa final'!$R$54),"")</f>
        <v/>
      </c>
      <c r="M35" s="52" t="str">
        <f>IF(AND('Mapa final'!$AB$55="Media",'Mapa final'!$AD$55="Leve"),CONCATENATE("R10C",'Mapa final'!$R$55),"")</f>
        <v/>
      </c>
      <c r="N35" s="52" t="str">
        <f>IF(AND('Mapa final'!$AB$56="Media",'Mapa final'!$AD$56="Leve"),CONCATENATE("R10C",'Mapa final'!$R$56),"")</f>
        <v/>
      </c>
      <c r="O35" s="53" t="str">
        <f>IF(AND('Mapa final'!$AB$57="Media",'Mapa final'!$AD$57="Leve"),CONCATENATE("R10C",'Mapa final'!$R$57),"")</f>
        <v/>
      </c>
      <c r="P35" s="51" t="str">
        <f>IF(AND('Mapa final'!$AB$52="Media",'Mapa final'!$AD$52="Menor"),CONCATENATE("R10C",'Mapa final'!$R$52),"")</f>
        <v/>
      </c>
      <c r="Q35" s="52" t="str">
        <f>IF(AND('Mapa final'!$AB$53="Media",'Mapa final'!$AD$53="Menor"),CONCATENATE("R10C",'Mapa final'!$R$53),"")</f>
        <v/>
      </c>
      <c r="R35" s="52" t="str">
        <f>IF(AND('Mapa final'!$AB$54="Media",'Mapa final'!$AD$54="Menor"),CONCATENATE("R10C",'Mapa final'!$R$54),"")</f>
        <v/>
      </c>
      <c r="S35" s="52" t="str">
        <f>IF(AND('Mapa final'!$AB$55="Media",'Mapa final'!$AD$55="Menor"),CONCATENATE("R10C",'Mapa final'!$R$55),"")</f>
        <v/>
      </c>
      <c r="T35" s="52" t="str">
        <f>IF(AND('Mapa final'!$AB$56="Media",'Mapa final'!$AD$56="Menor"),CONCATENATE("R10C",'Mapa final'!$R$56),"")</f>
        <v/>
      </c>
      <c r="U35" s="53" t="str">
        <f>IF(AND('Mapa final'!$AB$57="Media",'Mapa final'!$AD$57="Menor"),CONCATENATE("R10C",'Mapa final'!$R$57),"")</f>
        <v/>
      </c>
      <c r="V35" s="51" t="str">
        <f>IF(AND('Mapa final'!$AB$52="Media",'Mapa final'!$AD$52="Moderado"),CONCATENATE("R10C",'Mapa final'!$R$52),"")</f>
        <v/>
      </c>
      <c r="W35" s="52" t="str">
        <f>IF(AND('Mapa final'!$AB$53="Media",'Mapa final'!$AD$53="Moderado"),CONCATENATE("R10C",'Mapa final'!$R$53),"")</f>
        <v/>
      </c>
      <c r="X35" s="52" t="str">
        <f>IF(AND('Mapa final'!$AB$54="Media",'Mapa final'!$AD$54="Moderado"),CONCATENATE("R10C",'Mapa final'!$R$54),"")</f>
        <v/>
      </c>
      <c r="Y35" s="52" t="str">
        <f>IF(AND('Mapa final'!$AB$55="Media",'Mapa final'!$AD$55="Moderado"),CONCATENATE("R10C",'Mapa final'!$R$55),"")</f>
        <v/>
      </c>
      <c r="Z35" s="52" t="str">
        <f>IF(AND('Mapa final'!$AB$56="Media",'Mapa final'!$AD$56="Moderado"),CONCATENATE("R10C",'Mapa final'!$R$56),"")</f>
        <v/>
      </c>
      <c r="AA35" s="53" t="str">
        <f>IF(AND('Mapa final'!$AB$57="Media",'Mapa final'!$AD$57="Moderado"),CONCATENATE("R10C",'Mapa final'!$R$57),"")</f>
        <v/>
      </c>
      <c r="AB35" s="42" t="str">
        <f>IF(AND('Mapa final'!$AB$52="Media",'Mapa final'!$AD$52="Mayor"),CONCATENATE("R10C",'Mapa final'!$R$52),"")</f>
        <v/>
      </c>
      <c r="AC35" s="43" t="str">
        <f>IF(AND('Mapa final'!$AB$53="Media",'Mapa final'!$AD$53="Mayor"),CONCATENATE("R10C",'Mapa final'!$R$53),"")</f>
        <v/>
      </c>
      <c r="AD35" s="43" t="str">
        <f>IF(AND('Mapa final'!$AB$54="Media",'Mapa final'!$AD$54="Mayor"),CONCATENATE("R10C",'Mapa final'!$R$54),"")</f>
        <v/>
      </c>
      <c r="AE35" s="43" t="str">
        <f>IF(AND('Mapa final'!$AB$55="Media",'Mapa final'!$AD$55="Mayor"),CONCATENATE("R10C",'Mapa final'!$R$55),"")</f>
        <v/>
      </c>
      <c r="AF35" s="43" t="str">
        <f>IF(AND('Mapa final'!$AB$56="Media",'Mapa final'!$AD$56="Mayor"),CONCATENATE("R10C",'Mapa final'!$R$56),"")</f>
        <v/>
      </c>
      <c r="AG35" s="44" t="str">
        <f>IF(AND('Mapa final'!$AB$57="Media",'Mapa final'!$AD$57="Mayor"),CONCATENATE("R10C",'Mapa final'!$R$57),"")</f>
        <v/>
      </c>
      <c r="AH35" s="45" t="str">
        <f>IF(AND('Mapa final'!$AB$52="Media",'Mapa final'!$AD$52="Catastrófico"),CONCATENATE("R10C",'Mapa final'!$R$52),"")</f>
        <v/>
      </c>
      <c r="AI35" s="46" t="str">
        <f>IF(AND('Mapa final'!$AB$53="Media",'Mapa final'!$AD$53="Catastrófico"),CONCATENATE("R10C",'Mapa final'!$R$53),"")</f>
        <v/>
      </c>
      <c r="AJ35" s="46" t="str">
        <f>IF(AND('Mapa final'!$AB$54="Media",'Mapa final'!$AD$54="Catastrófico"),CONCATENATE("R10C",'Mapa final'!$R$54),"")</f>
        <v/>
      </c>
      <c r="AK35" s="46" t="str">
        <f>IF(AND('Mapa final'!$AB$55="Media",'Mapa final'!$AD$55="Catastrófico"),CONCATENATE("R10C",'Mapa final'!$R$55),"")</f>
        <v/>
      </c>
      <c r="AL35" s="46" t="str">
        <f>IF(AND('Mapa final'!$AB$56="Media",'Mapa final'!$AD$56="Catastrófico"),CONCATENATE("R10C",'Mapa final'!$R$56),"")</f>
        <v/>
      </c>
      <c r="AM35" s="47" t="str">
        <f>IF(AND('Mapa final'!$AB$57="Media",'Mapa final'!$AD$57="Catastrófico"),CONCATENATE("R10C",'Mapa final'!$R$57),"")</f>
        <v/>
      </c>
      <c r="AN35" s="67"/>
      <c r="AO35" s="616"/>
      <c r="AP35" s="617"/>
      <c r="AQ35" s="617"/>
      <c r="AR35" s="617"/>
      <c r="AS35" s="617"/>
      <c r="AT35" s="618"/>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row>
    <row r="36" spans="1:80" ht="15" customHeight="1" x14ac:dyDescent="0.3">
      <c r="A36" s="67"/>
      <c r="B36" s="532"/>
      <c r="C36" s="532"/>
      <c r="D36" s="533"/>
      <c r="E36" s="570" t="s">
        <v>109</v>
      </c>
      <c r="F36" s="571"/>
      <c r="G36" s="571"/>
      <c r="H36" s="571"/>
      <c r="I36" s="571"/>
      <c r="J36" s="57" t="str">
        <f>IF(AND('Mapa final'!$AB$10="Baja",'Mapa final'!$AD$10="Leve"),CONCATENATE("R1C",'Mapa final'!$R$10),"")</f>
        <v/>
      </c>
      <c r="K36" s="58" t="str">
        <f>IF(AND('Mapa final'!$AB$11="Baja",'Mapa final'!$AD$11="Leve"),CONCATENATE("R1C",'Mapa final'!$R$11),"")</f>
        <v/>
      </c>
      <c r="L36" s="58" t="e">
        <f>IF(AND('Mapa final'!#REF!="Baja",'Mapa final'!#REF!="Leve"),CONCATENATE("R1C",'Mapa final'!#REF!),"")</f>
        <v>#REF!</v>
      </c>
      <c r="M36" s="58" t="e">
        <f>IF(AND('Mapa final'!#REF!="Baja",'Mapa final'!#REF!="Leve"),CONCATENATE("R1C",'Mapa final'!#REF!),"")</f>
        <v>#REF!</v>
      </c>
      <c r="N36" s="58" t="e">
        <f>IF(AND('Mapa final'!#REF!="Baja",'Mapa final'!#REF!="Leve"),CONCATENATE("R1C",'Mapa final'!#REF!),"")</f>
        <v>#REF!</v>
      </c>
      <c r="O36" s="59" t="e">
        <f>IF(AND('Mapa final'!#REF!="Baja",'Mapa final'!#REF!="Leve"),CONCATENATE("R1C",'Mapa final'!#REF!),"")</f>
        <v>#REF!</v>
      </c>
      <c r="P36" s="48" t="str">
        <f>IF(AND('Mapa final'!$AB$10="Baja",'Mapa final'!$AD$10="Menor"),CONCATENATE("R1C",'Mapa final'!$R$10),"")</f>
        <v/>
      </c>
      <c r="Q36" s="49" t="str">
        <f>IF(AND('Mapa final'!$AB$11="Baja",'Mapa final'!$AD$11="Menor"),CONCATENATE("R1C",'Mapa final'!$R$11),"")</f>
        <v/>
      </c>
      <c r="R36" s="49" t="e">
        <f>IF(AND('Mapa final'!#REF!="Baja",'Mapa final'!#REF!="Menor"),CONCATENATE("R1C",'Mapa final'!#REF!),"")</f>
        <v>#REF!</v>
      </c>
      <c r="S36" s="49" t="e">
        <f>IF(AND('Mapa final'!#REF!="Baja",'Mapa final'!#REF!="Menor"),CONCATENATE("R1C",'Mapa final'!#REF!),"")</f>
        <v>#REF!</v>
      </c>
      <c r="T36" s="49" t="e">
        <f>IF(AND('Mapa final'!#REF!="Baja",'Mapa final'!#REF!="Menor"),CONCATENATE("R1C",'Mapa final'!#REF!),"")</f>
        <v>#REF!</v>
      </c>
      <c r="U36" s="50" t="e">
        <f>IF(AND('Mapa final'!#REF!="Baja",'Mapa final'!#REF!="Menor"),CONCATENATE("R1C",'Mapa final'!#REF!),"")</f>
        <v>#REF!</v>
      </c>
      <c r="V36" s="48" t="str">
        <f>IF(AND('Mapa final'!$AB$10="Baja",'Mapa final'!$AD$10="Moderado"),CONCATENATE("R1C",'Mapa final'!$R$10),"")</f>
        <v/>
      </c>
      <c r="W36" s="49" t="str">
        <f>IF(AND('Mapa final'!$AB$11="Baja",'Mapa final'!$AD$11="Moderado"),CONCATENATE("R1C",'Mapa final'!$R$11),"")</f>
        <v/>
      </c>
      <c r="X36" s="49" t="e">
        <f>IF(AND('Mapa final'!#REF!="Baja",'Mapa final'!#REF!="Moderado"),CONCATENATE("R1C",'Mapa final'!#REF!),"")</f>
        <v>#REF!</v>
      </c>
      <c r="Y36" s="49" t="e">
        <f>IF(AND('Mapa final'!#REF!="Baja",'Mapa final'!#REF!="Moderado"),CONCATENATE("R1C",'Mapa final'!#REF!),"")</f>
        <v>#REF!</v>
      </c>
      <c r="Z36" s="49" t="e">
        <f>IF(AND('Mapa final'!#REF!="Baja",'Mapa final'!#REF!="Moderado"),CONCATENATE("R1C",'Mapa final'!#REF!),"")</f>
        <v>#REF!</v>
      </c>
      <c r="AA36" s="50" t="e">
        <f>IF(AND('Mapa final'!#REF!="Baja",'Mapa final'!#REF!="Moderado"),CONCATENATE("R1C",'Mapa final'!#REF!),"")</f>
        <v>#REF!</v>
      </c>
      <c r="AB36" s="30" t="str">
        <f>IF(AND('Mapa final'!$AB$10="Baja",'Mapa final'!$AD$10="Mayor"),CONCATENATE("R1C",'Mapa final'!$R$10),"")</f>
        <v>R1C1</v>
      </c>
      <c r="AC36" s="31" t="str">
        <f>IF(AND('Mapa final'!$AB$11="Baja",'Mapa final'!$AD$11="Mayor"),CONCATENATE("R1C",'Mapa final'!$R$11),"")</f>
        <v>R1C2</v>
      </c>
      <c r="AD36" s="31" t="e">
        <f>IF(AND('Mapa final'!#REF!="Baja",'Mapa final'!#REF!="Mayor"),CONCATENATE("R1C",'Mapa final'!#REF!),"")</f>
        <v>#REF!</v>
      </c>
      <c r="AE36" s="31" t="e">
        <f>IF(AND('Mapa final'!#REF!="Baja",'Mapa final'!#REF!="Mayor"),CONCATENATE("R1C",'Mapa final'!#REF!),"")</f>
        <v>#REF!</v>
      </c>
      <c r="AF36" s="31" t="e">
        <f>IF(AND('Mapa final'!#REF!="Baja",'Mapa final'!#REF!="Mayor"),CONCATENATE("R1C",'Mapa final'!#REF!),"")</f>
        <v>#REF!</v>
      </c>
      <c r="AG36" s="32" t="e">
        <f>IF(AND('Mapa final'!#REF!="Baja",'Mapa final'!#REF!="Mayor"),CONCATENATE("R1C",'Mapa final'!#REF!),"")</f>
        <v>#REF!</v>
      </c>
      <c r="AH36" s="33" t="str">
        <f>IF(AND('Mapa final'!$AB$10="Baja",'Mapa final'!$AD$10="Catastrófico"),CONCATENATE("R1C",'Mapa final'!$R$10),"")</f>
        <v/>
      </c>
      <c r="AI36" s="34" t="str">
        <f>IF(AND('Mapa final'!$AB$11="Baja",'Mapa final'!$AD$11="Catastrófico"),CONCATENATE("R1C",'Mapa final'!$R$11),"")</f>
        <v/>
      </c>
      <c r="AJ36" s="34" t="e">
        <f>IF(AND('Mapa final'!#REF!="Baja",'Mapa final'!#REF!="Catastrófico"),CONCATENATE("R1C",'Mapa final'!#REF!),"")</f>
        <v>#REF!</v>
      </c>
      <c r="AK36" s="34" t="e">
        <f>IF(AND('Mapa final'!#REF!="Baja",'Mapa final'!#REF!="Catastrófico"),CONCATENATE("R1C",'Mapa final'!#REF!),"")</f>
        <v>#REF!</v>
      </c>
      <c r="AL36" s="34" t="e">
        <f>IF(AND('Mapa final'!#REF!="Baja",'Mapa final'!#REF!="Catastrófico"),CONCATENATE("R1C",'Mapa final'!#REF!),"")</f>
        <v>#REF!</v>
      </c>
      <c r="AM36" s="35" t="e">
        <f>IF(AND('Mapa final'!#REF!="Baja",'Mapa final'!#REF!="Catastrófico"),CONCATENATE("R1C",'Mapa final'!#REF!),"")</f>
        <v>#REF!</v>
      </c>
      <c r="AN36" s="67"/>
      <c r="AO36" s="601" t="s">
        <v>81</v>
      </c>
      <c r="AP36" s="602"/>
      <c r="AQ36" s="602"/>
      <c r="AR36" s="602"/>
      <c r="AS36" s="602"/>
      <c r="AT36" s="603"/>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row>
    <row r="37" spans="1:80" ht="15" customHeight="1" x14ac:dyDescent="0.3">
      <c r="A37" s="67"/>
      <c r="B37" s="532"/>
      <c r="C37" s="532"/>
      <c r="D37" s="533"/>
      <c r="E37" s="589"/>
      <c r="F37" s="574"/>
      <c r="G37" s="574"/>
      <c r="H37" s="574"/>
      <c r="I37" s="574"/>
      <c r="J37" s="60" t="str">
        <f>IF(AND('Mapa final'!$AB$12="Baja",'Mapa final'!$AD$12="Leve"),CONCATENATE("R2C",'Mapa final'!$R$12),"")</f>
        <v/>
      </c>
      <c r="K37" s="61" t="str">
        <f>IF(AND('Mapa final'!$AB$13="Baja",'Mapa final'!$AD$13="Leve"),CONCATENATE("R2C",'Mapa final'!$R$13),"")</f>
        <v/>
      </c>
      <c r="L37" s="61" t="e">
        <f>IF(AND('Mapa final'!#REF!="Baja",'Mapa final'!#REF!="Leve"),CONCATENATE("R2C",'Mapa final'!#REF!),"")</f>
        <v>#REF!</v>
      </c>
      <c r="M37" s="61" t="e">
        <f>IF(AND('Mapa final'!#REF!="Baja",'Mapa final'!#REF!="Leve"),CONCATENATE("R2C",'Mapa final'!#REF!),"")</f>
        <v>#REF!</v>
      </c>
      <c r="N37" s="61" t="e">
        <f>IF(AND('Mapa final'!#REF!="Baja",'Mapa final'!#REF!="Leve"),CONCATENATE("R2C",'Mapa final'!#REF!),"")</f>
        <v>#REF!</v>
      </c>
      <c r="O37" s="62" t="e">
        <f>IF(AND('Mapa final'!#REF!="Baja",'Mapa final'!#REF!="Leve"),CONCATENATE("R2C",'Mapa final'!#REF!),"")</f>
        <v>#REF!</v>
      </c>
      <c r="P37" s="51" t="str">
        <f>IF(AND('Mapa final'!$AB$12="Baja",'Mapa final'!$AD$12="Menor"),CONCATENATE("R2C",'Mapa final'!$R$12),"")</f>
        <v/>
      </c>
      <c r="Q37" s="52" t="str">
        <f>IF(AND('Mapa final'!$AB$13="Baja",'Mapa final'!$AD$13="Menor"),CONCATENATE("R2C",'Mapa final'!$R$13),"")</f>
        <v/>
      </c>
      <c r="R37" s="52" t="e">
        <f>IF(AND('Mapa final'!#REF!="Baja",'Mapa final'!#REF!="Menor"),CONCATENATE("R2C",'Mapa final'!#REF!),"")</f>
        <v>#REF!</v>
      </c>
      <c r="S37" s="52" t="e">
        <f>IF(AND('Mapa final'!#REF!="Baja",'Mapa final'!#REF!="Menor"),CONCATENATE("R2C",'Mapa final'!#REF!),"")</f>
        <v>#REF!</v>
      </c>
      <c r="T37" s="52" t="e">
        <f>IF(AND('Mapa final'!#REF!="Baja",'Mapa final'!#REF!="Menor"),CONCATENATE("R2C",'Mapa final'!#REF!),"")</f>
        <v>#REF!</v>
      </c>
      <c r="U37" s="53" t="e">
        <f>IF(AND('Mapa final'!#REF!="Baja",'Mapa final'!#REF!="Menor"),CONCATENATE("R2C",'Mapa final'!#REF!),"")</f>
        <v>#REF!</v>
      </c>
      <c r="V37" s="51" t="str">
        <f>IF(AND('Mapa final'!$AB$12="Baja",'Mapa final'!$AD$12="Moderado"),CONCATENATE("R2C",'Mapa final'!$R$12),"")</f>
        <v/>
      </c>
      <c r="W37" s="52" t="str">
        <f>IF(AND('Mapa final'!$AB$13="Baja",'Mapa final'!$AD$13="Moderado"),CONCATENATE("R2C",'Mapa final'!$R$13),"")</f>
        <v/>
      </c>
      <c r="X37" s="52" t="e">
        <f>IF(AND('Mapa final'!#REF!="Baja",'Mapa final'!#REF!="Moderado"),CONCATENATE("R2C",'Mapa final'!#REF!),"")</f>
        <v>#REF!</v>
      </c>
      <c r="Y37" s="52" t="e">
        <f>IF(AND('Mapa final'!#REF!="Baja",'Mapa final'!#REF!="Moderado"),CONCATENATE("R2C",'Mapa final'!#REF!),"")</f>
        <v>#REF!</v>
      </c>
      <c r="Z37" s="52" t="e">
        <f>IF(AND('Mapa final'!#REF!="Baja",'Mapa final'!#REF!="Moderado"),CONCATENATE("R2C",'Mapa final'!#REF!),"")</f>
        <v>#REF!</v>
      </c>
      <c r="AA37" s="53" t="e">
        <f>IF(AND('Mapa final'!#REF!="Baja",'Mapa final'!#REF!="Moderado"),CONCATENATE("R2C",'Mapa final'!#REF!),"")</f>
        <v>#REF!</v>
      </c>
      <c r="AB37" s="36" t="str">
        <f>IF(AND('Mapa final'!$AB$12="Baja",'Mapa final'!$AD$12="Mayor"),CONCATENATE("R2C",'Mapa final'!$R$12),"")</f>
        <v>R2C1</v>
      </c>
      <c r="AC37" s="37" t="str">
        <f>IF(AND('Mapa final'!$AB$13="Baja",'Mapa final'!$AD$13="Mayor"),CONCATENATE("R2C",'Mapa final'!$R$13),"")</f>
        <v>R2C2</v>
      </c>
      <c r="AD37" s="37" t="e">
        <f>IF(AND('Mapa final'!#REF!="Baja",'Mapa final'!#REF!="Mayor"),CONCATENATE("R2C",'Mapa final'!#REF!),"")</f>
        <v>#REF!</v>
      </c>
      <c r="AE37" s="37" t="e">
        <f>IF(AND('Mapa final'!#REF!="Baja",'Mapa final'!#REF!="Mayor"),CONCATENATE("R2C",'Mapa final'!#REF!),"")</f>
        <v>#REF!</v>
      </c>
      <c r="AF37" s="37" t="e">
        <f>IF(AND('Mapa final'!#REF!="Baja",'Mapa final'!#REF!="Mayor"),CONCATENATE("R2C",'Mapa final'!#REF!),"")</f>
        <v>#REF!</v>
      </c>
      <c r="AG37" s="38" t="e">
        <f>IF(AND('Mapa final'!#REF!="Baja",'Mapa final'!#REF!="Mayor"),CONCATENATE("R2C",'Mapa final'!#REF!),"")</f>
        <v>#REF!</v>
      </c>
      <c r="AH37" s="39" t="str">
        <f>IF(AND('Mapa final'!$AB$12="Baja",'Mapa final'!$AD$12="Catastrófico"),CONCATENATE("R2C",'Mapa final'!$R$12),"")</f>
        <v/>
      </c>
      <c r="AI37" s="40" t="str">
        <f>IF(AND('Mapa final'!$AB$13="Baja",'Mapa final'!$AD$13="Catastrófico"),CONCATENATE("R2C",'Mapa final'!$R$13),"")</f>
        <v/>
      </c>
      <c r="AJ37" s="40" t="e">
        <f>IF(AND('Mapa final'!#REF!="Baja",'Mapa final'!#REF!="Catastrófico"),CONCATENATE("R2C",'Mapa final'!#REF!),"")</f>
        <v>#REF!</v>
      </c>
      <c r="AK37" s="40" t="e">
        <f>IF(AND('Mapa final'!#REF!="Baja",'Mapa final'!#REF!="Catastrófico"),CONCATENATE("R2C",'Mapa final'!#REF!),"")</f>
        <v>#REF!</v>
      </c>
      <c r="AL37" s="40" t="e">
        <f>IF(AND('Mapa final'!#REF!="Baja",'Mapa final'!#REF!="Catastrófico"),CONCATENATE("R2C",'Mapa final'!#REF!),"")</f>
        <v>#REF!</v>
      </c>
      <c r="AM37" s="41" t="e">
        <f>IF(AND('Mapa final'!#REF!="Baja",'Mapa final'!#REF!="Catastrófico"),CONCATENATE("R2C",'Mapa final'!#REF!),"")</f>
        <v>#REF!</v>
      </c>
      <c r="AN37" s="67"/>
      <c r="AO37" s="604"/>
      <c r="AP37" s="605"/>
      <c r="AQ37" s="605"/>
      <c r="AR37" s="605"/>
      <c r="AS37" s="605"/>
      <c r="AT37" s="606"/>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row>
    <row r="38" spans="1:80" ht="15" customHeight="1" x14ac:dyDescent="0.3">
      <c r="A38" s="67"/>
      <c r="B38" s="532"/>
      <c r="C38" s="532"/>
      <c r="D38" s="533"/>
      <c r="E38" s="573"/>
      <c r="F38" s="574"/>
      <c r="G38" s="574"/>
      <c r="H38" s="574"/>
      <c r="I38" s="574"/>
      <c r="J38" s="60" t="str">
        <f>IF(AND('Mapa final'!$AB$14="Baja",'Mapa final'!$AD$14="Leve"),CONCATENATE("R3C",'Mapa final'!$R$14),"")</f>
        <v>R3C1</v>
      </c>
      <c r="K38" s="61" t="str">
        <f>IF(AND('Mapa final'!$AB$15="Baja",'Mapa final'!$AD$15="Leve"),CONCATENATE("R3C",'Mapa final'!$R$15),"")</f>
        <v>R3C2</v>
      </c>
      <c r="L38" s="61" t="e">
        <f>IF(AND('Mapa final'!#REF!="Baja",'Mapa final'!#REF!="Leve"),CONCATENATE("R3C",'Mapa final'!#REF!),"")</f>
        <v>#REF!</v>
      </c>
      <c r="M38" s="61" t="e">
        <f>IF(AND('Mapa final'!#REF!="Baja",'Mapa final'!#REF!="Leve"),CONCATENATE("R3C",'Mapa final'!#REF!),"")</f>
        <v>#REF!</v>
      </c>
      <c r="N38" s="61" t="e">
        <f>IF(AND('Mapa final'!#REF!="Baja",'Mapa final'!#REF!="Leve"),CONCATENATE("R3C",'Mapa final'!#REF!),"")</f>
        <v>#REF!</v>
      </c>
      <c r="O38" s="62" t="e">
        <f>IF(AND('Mapa final'!#REF!="Baja",'Mapa final'!#REF!="Leve"),CONCATENATE("R3C",'Mapa final'!#REF!),"")</f>
        <v>#REF!</v>
      </c>
      <c r="P38" s="51" t="str">
        <f>IF(AND('Mapa final'!$AB$14="Baja",'Mapa final'!$AD$14="Menor"),CONCATENATE("R3C",'Mapa final'!$R$14),"")</f>
        <v/>
      </c>
      <c r="Q38" s="52" t="str">
        <f>IF(AND('Mapa final'!$AB$15="Baja",'Mapa final'!$AD$15="Menor"),CONCATENATE("R3C",'Mapa final'!$R$15),"")</f>
        <v/>
      </c>
      <c r="R38" s="52" t="e">
        <f>IF(AND('Mapa final'!#REF!="Baja",'Mapa final'!#REF!="Menor"),CONCATENATE("R3C",'Mapa final'!#REF!),"")</f>
        <v>#REF!</v>
      </c>
      <c r="S38" s="52" t="e">
        <f>IF(AND('Mapa final'!#REF!="Baja",'Mapa final'!#REF!="Menor"),CONCATENATE("R3C",'Mapa final'!#REF!),"")</f>
        <v>#REF!</v>
      </c>
      <c r="T38" s="52" t="e">
        <f>IF(AND('Mapa final'!#REF!="Baja",'Mapa final'!#REF!="Menor"),CONCATENATE("R3C",'Mapa final'!#REF!),"")</f>
        <v>#REF!</v>
      </c>
      <c r="U38" s="53" t="e">
        <f>IF(AND('Mapa final'!#REF!="Baja",'Mapa final'!#REF!="Menor"),CONCATENATE("R3C",'Mapa final'!#REF!),"")</f>
        <v>#REF!</v>
      </c>
      <c r="V38" s="51" t="str">
        <f>IF(AND('Mapa final'!$AB$14="Baja",'Mapa final'!$AD$14="Moderado"),CONCATENATE("R3C",'Mapa final'!$R$14),"")</f>
        <v/>
      </c>
      <c r="W38" s="52" t="str">
        <f>IF(AND('Mapa final'!$AB$15="Baja",'Mapa final'!$AD$15="Moderado"),CONCATENATE("R3C",'Mapa final'!$R$15),"")</f>
        <v/>
      </c>
      <c r="X38" s="52" t="e">
        <f>IF(AND('Mapa final'!#REF!="Baja",'Mapa final'!#REF!="Moderado"),CONCATENATE("R3C",'Mapa final'!#REF!),"")</f>
        <v>#REF!</v>
      </c>
      <c r="Y38" s="52" t="e">
        <f>IF(AND('Mapa final'!#REF!="Baja",'Mapa final'!#REF!="Moderado"),CONCATENATE("R3C",'Mapa final'!#REF!),"")</f>
        <v>#REF!</v>
      </c>
      <c r="Z38" s="52" t="e">
        <f>IF(AND('Mapa final'!#REF!="Baja",'Mapa final'!#REF!="Moderado"),CONCATENATE("R3C",'Mapa final'!#REF!),"")</f>
        <v>#REF!</v>
      </c>
      <c r="AA38" s="53" t="e">
        <f>IF(AND('Mapa final'!#REF!="Baja",'Mapa final'!#REF!="Moderado"),CONCATENATE("R3C",'Mapa final'!#REF!),"")</f>
        <v>#REF!</v>
      </c>
      <c r="AB38" s="36" t="str">
        <f>IF(AND('Mapa final'!$AB$14="Baja",'Mapa final'!$AD$14="Mayor"),CONCATENATE("R3C",'Mapa final'!$R$14),"")</f>
        <v/>
      </c>
      <c r="AC38" s="37" t="str">
        <f>IF(AND('Mapa final'!$AB$15="Baja",'Mapa final'!$AD$15="Mayor"),CONCATENATE("R3C",'Mapa final'!$R$15),"")</f>
        <v/>
      </c>
      <c r="AD38" s="37" t="e">
        <f>IF(AND('Mapa final'!#REF!="Baja",'Mapa final'!#REF!="Mayor"),CONCATENATE("R3C",'Mapa final'!#REF!),"")</f>
        <v>#REF!</v>
      </c>
      <c r="AE38" s="37" t="e">
        <f>IF(AND('Mapa final'!#REF!="Baja",'Mapa final'!#REF!="Mayor"),CONCATENATE("R3C",'Mapa final'!#REF!),"")</f>
        <v>#REF!</v>
      </c>
      <c r="AF38" s="37" t="e">
        <f>IF(AND('Mapa final'!#REF!="Baja",'Mapa final'!#REF!="Mayor"),CONCATENATE("R3C",'Mapa final'!#REF!),"")</f>
        <v>#REF!</v>
      </c>
      <c r="AG38" s="38" t="e">
        <f>IF(AND('Mapa final'!#REF!="Baja",'Mapa final'!#REF!="Mayor"),CONCATENATE("R3C",'Mapa final'!#REF!),"")</f>
        <v>#REF!</v>
      </c>
      <c r="AH38" s="39" t="str">
        <f>IF(AND('Mapa final'!$AB$14="Baja",'Mapa final'!$AD$14="Catastrófico"),CONCATENATE("R3C",'Mapa final'!$R$14),"")</f>
        <v/>
      </c>
      <c r="AI38" s="40" t="str">
        <f>IF(AND('Mapa final'!$AB$15="Baja",'Mapa final'!$AD$15="Catastrófico"),CONCATENATE("R3C",'Mapa final'!$R$15),"")</f>
        <v/>
      </c>
      <c r="AJ38" s="40" t="e">
        <f>IF(AND('Mapa final'!#REF!="Baja",'Mapa final'!#REF!="Catastrófico"),CONCATENATE("R3C",'Mapa final'!#REF!),"")</f>
        <v>#REF!</v>
      </c>
      <c r="AK38" s="40" t="e">
        <f>IF(AND('Mapa final'!#REF!="Baja",'Mapa final'!#REF!="Catastrófico"),CONCATENATE("R3C",'Mapa final'!#REF!),"")</f>
        <v>#REF!</v>
      </c>
      <c r="AL38" s="40" t="e">
        <f>IF(AND('Mapa final'!#REF!="Baja",'Mapa final'!#REF!="Catastrófico"),CONCATENATE("R3C",'Mapa final'!#REF!),"")</f>
        <v>#REF!</v>
      </c>
      <c r="AM38" s="41" t="e">
        <f>IF(AND('Mapa final'!#REF!="Baja",'Mapa final'!#REF!="Catastrófico"),CONCATENATE("R3C",'Mapa final'!#REF!),"")</f>
        <v>#REF!</v>
      </c>
      <c r="AN38" s="67"/>
      <c r="AO38" s="604"/>
      <c r="AP38" s="605"/>
      <c r="AQ38" s="605"/>
      <c r="AR38" s="605"/>
      <c r="AS38" s="605"/>
      <c r="AT38" s="606"/>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row>
    <row r="39" spans="1:80" ht="15" customHeight="1" x14ac:dyDescent="0.3">
      <c r="A39" s="67"/>
      <c r="B39" s="532"/>
      <c r="C39" s="532"/>
      <c r="D39" s="533"/>
      <c r="E39" s="573"/>
      <c r="F39" s="574"/>
      <c r="G39" s="574"/>
      <c r="H39" s="574"/>
      <c r="I39" s="574"/>
      <c r="J39" s="60" t="str">
        <f>IF(AND('Mapa final'!$AB$16="Baja",'Mapa final'!$AD$16="Leve"),CONCATENATE("R4C",'Mapa final'!$R$16),"")</f>
        <v/>
      </c>
      <c r="K39" s="61" t="str">
        <f>IF(AND('Mapa final'!$AB$17="Baja",'Mapa final'!$AD$17="Leve"),CONCATENATE("R4C",'Mapa final'!$R$17),"")</f>
        <v/>
      </c>
      <c r="L39" s="61" t="str">
        <f>IF(AND('Mapa final'!$AB$18="Baja",'Mapa final'!$AD$18="Leve"),CONCATENATE("R4C",'Mapa final'!$R$18),"")</f>
        <v/>
      </c>
      <c r="M39" s="61" t="str">
        <f>IF(AND('Mapa final'!$AB$19="Baja",'Mapa final'!$AD$19="Leve"),CONCATENATE("R4C",'Mapa final'!$R$19),"")</f>
        <v/>
      </c>
      <c r="N39" s="61" t="str">
        <f>IF(AND('Mapa final'!$AB$20="Baja",'Mapa final'!$AD$20="Leve"),CONCATENATE("R4C",'Mapa final'!$R$20),"")</f>
        <v/>
      </c>
      <c r="O39" s="62" t="str">
        <f>IF(AND('Mapa final'!$AB$21="Baja",'Mapa final'!$AD$21="Leve"),CONCATENATE("R4C",'Mapa final'!$R$21),"")</f>
        <v/>
      </c>
      <c r="P39" s="51" t="str">
        <f>IF(AND('Mapa final'!$AB$16="Baja",'Mapa final'!$AD$16="Menor"),CONCATENATE("R4C",'Mapa final'!$R$16),"")</f>
        <v/>
      </c>
      <c r="Q39" s="52" t="str">
        <f>IF(AND('Mapa final'!$AB$17="Baja",'Mapa final'!$AD$17="Menor"),CONCATENATE("R4C",'Mapa final'!$R$17),"")</f>
        <v/>
      </c>
      <c r="R39" s="52" t="str">
        <f>IF(AND('Mapa final'!$AB$18="Baja",'Mapa final'!$AD$18="Menor"),CONCATENATE("R4C",'Mapa final'!$R$18),"")</f>
        <v/>
      </c>
      <c r="S39" s="52" t="str">
        <f>IF(AND('Mapa final'!$AB$19="Baja",'Mapa final'!$AD$19="Menor"),CONCATENATE("R4C",'Mapa final'!$R$19),"")</f>
        <v/>
      </c>
      <c r="T39" s="52" t="str">
        <f>IF(AND('Mapa final'!$AB$20="Baja",'Mapa final'!$AD$20="Menor"),CONCATENATE("R4C",'Mapa final'!$R$20),"")</f>
        <v/>
      </c>
      <c r="U39" s="53" t="str">
        <f>IF(AND('Mapa final'!$AB$21="Baja",'Mapa final'!$AD$21="Menor"),CONCATENATE("R4C",'Mapa final'!$R$21),"")</f>
        <v/>
      </c>
      <c r="V39" s="51" t="str">
        <f>IF(AND('Mapa final'!$AB$16="Baja",'Mapa final'!$AD$16="Moderado"),CONCATENATE("R4C",'Mapa final'!$R$16),"")</f>
        <v/>
      </c>
      <c r="W39" s="52" t="str">
        <f>IF(AND('Mapa final'!$AB$17="Baja",'Mapa final'!$AD$17="Moderado"),CONCATENATE("R4C",'Mapa final'!$R$17),"")</f>
        <v/>
      </c>
      <c r="X39" s="52" t="str">
        <f>IF(AND('Mapa final'!$AB$18="Baja",'Mapa final'!$AD$18="Moderado"),CONCATENATE("R4C",'Mapa final'!$R$18),"")</f>
        <v/>
      </c>
      <c r="Y39" s="52" t="str">
        <f>IF(AND('Mapa final'!$AB$19="Baja",'Mapa final'!$AD$19="Moderado"),CONCATENATE("R4C",'Mapa final'!$R$19),"")</f>
        <v/>
      </c>
      <c r="Z39" s="52" t="str">
        <f>IF(AND('Mapa final'!$AB$20="Baja",'Mapa final'!$AD$20="Moderado"),CONCATENATE("R4C",'Mapa final'!$R$20),"")</f>
        <v/>
      </c>
      <c r="AA39" s="53" t="str">
        <f>IF(AND('Mapa final'!$AB$21="Baja",'Mapa final'!$AD$21="Moderado"),CONCATENATE("R4C",'Mapa final'!$R$21),"")</f>
        <v/>
      </c>
      <c r="AB39" s="36" t="str">
        <f>IF(AND('Mapa final'!$AB$16="Baja",'Mapa final'!$AD$16="Mayor"),CONCATENATE("R4C",'Mapa final'!$R$16),"")</f>
        <v/>
      </c>
      <c r="AC39" s="37" t="str">
        <f>IF(AND('Mapa final'!$AB$17="Baja",'Mapa final'!$AD$17="Mayor"),CONCATENATE("R4C",'Mapa final'!$R$17),"")</f>
        <v/>
      </c>
      <c r="AD39" s="37" t="str">
        <f>IF(AND('Mapa final'!$AB$18="Baja",'Mapa final'!$AD$18="Mayor"),CONCATENATE("R4C",'Mapa final'!$R$18),"")</f>
        <v/>
      </c>
      <c r="AE39" s="37" t="str">
        <f>IF(AND('Mapa final'!$AB$19="Baja",'Mapa final'!$AD$19="Mayor"),CONCATENATE("R4C",'Mapa final'!$R$19),"")</f>
        <v/>
      </c>
      <c r="AF39" s="37" t="str">
        <f>IF(AND('Mapa final'!$AB$20="Baja",'Mapa final'!$AD$20="Mayor"),CONCATENATE("R4C",'Mapa final'!$R$20),"")</f>
        <v/>
      </c>
      <c r="AG39" s="38" t="str">
        <f>IF(AND('Mapa final'!$AB$21="Baja",'Mapa final'!$AD$21="Mayor"),CONCATENATE("R4C",'Mapa final'!$R$21),"")</f>
        <v/>
      </c>
      <c r="AH39" s="39" t="str">
        <f>IF(AND('Mapa final'!$AB$16="Baja",'Mapa final'!$AD$16="Catastrófico"),CONCATENATE("R4C",'Mapa final'!$R$16),"")</f>
        <v/>
      </c>
      <c r="AI39" s="40" t="str">
        <f>IF(AND('Mapa final'!$AB$17="Baja",'Mapa final'!$AD$17="Catastrófico"),CONCATENATE("R4C",'Mapa final'!$R$17),"")</f>
        <v/>
      </c>
      <c r="AJ39" s="40" t="str">
        <f>IF(AND('Mapa final'!$AB$18="Baja",'Mapa final'!$AD$18="Catastrófico"),CONCATENATE("R4C",'Mapa final'!$R$18),"")</f>
        <v/>
      </c>
      <c r="AK39" s="40" t="str">
        <f>IF(AND('Mapa final'!$AB$19="Baja",'Mapa final'!$AD$19="Catastrófico"),CONCATENATE("R4C",'Mapa final'!$R$19),"")</f>
        <v/>
      </c>
      <c r="AL39" s="40" t="str">
        <f>IF(AND('Mapa final'!$AB$20="Baja",'Mapa final'!$AD$20="Catastrófico"),CONCATENATE("R4C",'Mapa final'!$R$20),"")</f>
        <v/>
      </c>
      <c r="AM39" s="41" t="str">
        <f>IF(AND('Mapa final'!$AB$21="Baja",'Mapa final'!$AD$21="Catastrófico"),CONCATENATE("R4C",'Mapa final'!$R$21),"")</f>
        <v/>
      </c>
      <c r="AN39" s="67"/>
      <c r="AO39" s="604"/>
      <c r="AP39" s="605"/>
      <c r="AQ39" s="605"/>
      <c r="AR39" s="605"/>
      <c r="AS39" s="605"/>
      <c r="AT39" s="606"/>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row>
    <row r="40" spans="1:80" ht="15" customHeight="1" x14ac:dyDescent="0.3">
      <c r="A40" s="67"/>
      <c r="B40" s="532"/>
      <c r="C40" s="532"/>
      <c r="D40" s="533"/>
      <c r="E40" s="573"/>
      <c r="F40" s="574"/>
      <c r="G40" s="574"/>
      <c r="H40" s="574"/>
      <c r="I40" s="574"/>
      <c r="J40" s="60" t="str">
        <f>IF(AND('Mapa final'!$AB$22="Baja",'Mapa final'!$AD$22="Leve"),CONCATENATE("R5C",'Mapa final'!$R$22),"")</f>
        <v/>
      </c>
      <c r="K40" s="61" t="str">
        <f>IF(AND('Mapa final'!$AB$23="Baja",'Mapa final'!$AD$23="Leve"),CONCATENATE("R5C",'Mapa final'!$R$23),"")</f>
        <v/>
      </c>
      <c r="L40" s="61" t="str">
        <f>IF(AND('Mapa final'!$AB$24="Baja",'Mapa final'!$AD$24="Leve"),CONCATENATE("R5C",'Mapa final'!$R$24),"")</f>
        <v/>
      </c>
      <c r="M40" s="61" t="str">
        <f>IF(AND('Mapa final'!$AB$25="Baja",'Mapa final'!$AD$25="Leve"),CONCATENATE("R5C",'Mapa final'!$R$25),"")</f>
        <v/>
      </c>
      <c r="N40" s="61" t="str">
        <f>IF(AND('Mapa final'!$AB$26="Baja",'Mapa final'!$AD$26="Leve"),CONCATENATE("R5C",'Mapa final'!$R$26),"")</f>
        <v/>
      </c>
      <c r="O40" s="62" t="str">
        <f>IF(AND('Mapa final'!$AB$27="Baja",'Mapa final'!$AD$27="Leve"),CONCATENATE("R5C",'Mapa final'!$R$27),"")</f>
        <v/>
      </c>
      <c r="P40" s="51" t="str">
        <f>IF(AND('Mapa final'!$AB$22="Baja",'Mapa final'!$AD$22="Menor"),CONCATENATE("R5C",'Mapa final'!$R$22),"")</f>
        <v/>
      </c>
      <c r="Q40" s="52" t="str">
        <f>IF(AND('Mapa final'!$AB$23="Baja",'Mapa final'!$AD$23="Menor"),CONCATENATE("R5C",'Mapa final'!$R$23),"")</f>
        <v/>
      </c>
      <c r="R40" s="52" t="str">
        <f>IF(AND('Mapa final'!$AB$24="Baja",'Mapa final'!$AD$24="Menor"),CONCATENATE("R5C",'Mapa final'!$R$24),"")</f>
        <v/>
      </c>
      <c r="S40" s="52" t="str">
        <f>IF(AND('Mapa final'!$AB$25="Baja",'Mapa final'!$AD$25="Menor"),CONCATENATE("R5C",'Mapa final'!$R$25),"")</f>
        <v/>
      </c>
      <c r="T40" s="52" t="str">
        <f>IF(AND('Mapa final'!$AB$26="Baja",'Mapa final'!$AD$26="Menor"),CONCATENATE("R5C",'Mapa final'!$R$26),"")</f>
        <v/>
      </c>
      <c r="U40" s="53" t="str">
        <f>IF(AND('Mapa final'!$AB$27="Baja",'Mapa final'!$AD$27="Menor"),CONCATENATE("R5C",'Mapa final'!$R$27),"")</f>
        <v/>
      </c>
      <c r="V40" s="51" t="str">
        <f>IF(AND('Mapa final'!$AB$22="Baja",'Mapa final'!$AD$22="Moderado"),CONCATENATE("R5C",'Mapa final'!$R$22),"")</f>
        <v/>
      </c>
      <c r="W40" s="52" t="str">
        <f>IF(AND('Mapa final'!$AB$23="Baja",'Mapa final'!$AD$23="Moderado"),CONCATENATE("R5C",'Mapa final'!$R$23),"")</f>
        <v/>
      </c>
      <c r="X40" s="52" t="str">
        <f>IF(AND('Mapa final'!$AB$24="Baja",'Mapa final'!$AD$24="Moderado"),CONCATENATE("R5C",'Mapa final'!$R$24),"")</f>
        <v/>
      </c>
      <c r="Y40" s="52" t="str">
        <f>IF(AND('Mapa final'!$AB$25="Baja",'Mapa final'!$AD$25="Moderado"),CONCATENATE("R5C",'Mapa final'!$R$25),"")</f>
        <v/>
      </c>
      <c r="Z40" s="52" t="str">
        <f>IF(AND('Mapa final'!$AB$26="Baja",'Mapa final'!$AD$26="Moderado"),CONCATENATE("R5C",'Mapa final'!$R$26),"")</f>
        <v/>
      </c>
      <c r="AA40" s="53" t="str">
        <f>IF(AND('Mapa final'!$AB$27="Baja",'Mapa final'!$AD$27="Moderado"),CONCATENATE("R5C",'Mapa final'!$R$27),"")</f>
        <v/>
      </c>
      <c r="AB40" s="36" t="str">
        <f>IF(AND('Mapa final'!$AB$22="Baja",'Mapa final'!$AD$22="Mayor"),CONCATENATE("R5C",'Mapa final'!$R$22),"")</f>
        <v/>
      </c>
      <c r="AC40" s="37" t="str">
        <f>IF(AND('Mapa final'!$AB$23="Baja",'Mapa final'!$AD$23="Mayor"),CONCATENATE("R5C",'Mapa final'!$R$23),"")</f>
        <v/>
      </c>
      <c r="AD40" s="37" t="str">
        <f>IF(AND('Mapa final'!$AB$24="Baja",'Mapa final'!$AD$24="Mayor"),CONCATENATE("R5C",'Mapa final'!$R$24),"")</f>
        <v/>
      </c>
      <c r="AE40" s="37" t="str">
        <f>IF(AND('Mapa final'!$AB$25="Baja",'Mapa final'!$AD$25="Mayor"),CONCATENATE("R5C",'Mapa final'!$R$25),"")</f>
        <v/>
      </c>
      <c r="AF40" s="37" t="str">
        <f>IF(AND('Mapa final'!$AB$26="Baja",'Mapa final'!$AD$26="Mayor"),CONCATENATE("R5C",'Mapa final'!$R$26),"")</f>
        <v/>
      </c>
      <c r="AG40" s="38" t="str">
        <f>IF(AND('Mapa final'!$AB$27="Baja",'Mapa final'!$AD$27="Mayor"),CONCATENATE("R5C",'Mapa final'!$R$27),"")</f>
        <v/>
      </c>
      <c r="AH40" s="39" t="str">
        <f>IF(AND('Mapa final'!$AB$22="Baja",'Mapa final'!$AD$22="Catastrófico"),CONCATENATE("R5C",'Mapa final'!$R$22),"")</f>
        <v/>
      </c>
      <c r="AI40" s="40" t="str">
        <f>IF(AND('Mapa final'!$AB$23="Baja",'Mapa final'!$AD$23="Catastrófico"),CONCATENATE("R5C",'Mapa final'!$R$23),"")</f>
        <v/>
      </c>
      <c r="AJ40" s="40" t="str">
        <f>IF(AND('Mapa final'!$AB$24="Baja",'Mapa final'!$AD$24="Catastrófico"),CONCATENATE("R5C",'Mapa final'!$R$24),"")</f>
        <v/>
      </c>
      <c r="AK40" s="40" t="str">
        <f>IF(AND('Mapa final'!$AB$25="Baja",'Mapa final'!$AD$25="Catastrófico"),CONCATENATE("R5C",'Mapa final'!$R$25),"")</f>
        <v/>
      </c>
      <c r="AL40" s="40" t="str">
        <f>IF(AND('Mapa final'!$AB$26="Baja",'Mapa final'!$AD$26="Catastrófico"),CONCATENATE("R5C",'Mapa final'!$R$26),"")</f>
        <v/>
      </c>
      <c r="AM40" s="41" t="str">
        <f>IF(AND('Mapa final'!$AB$27="Baja",'Mapa final'!$AD$27="Catastrófico"),CONCATENATE("R5C",'Mapa final'!$R$27),"")</f>
        <v/>
      </c>
      <c r="AN40" s="67"/>
      <c r="AO40" s="604"/>
      <c r="AP40" s="605"/>
      <c r="AQ40" s="605"/>
      <c r="AR40" s="605"/>
      <c r="AS40" s="605"/>
      <c r="AT40" s="606"/>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row>
    <row r="41" spans="1:80" ht="15" customHeight="1" x14ac:dyDescent="0.3">
      <c r="A41" s="67"/>
      <c r="B41" s="532"/>
      <c r="C41" s="532"/>
      <c r="D41" s="533"/>
      <c r="E41" s="573"/>
      <c r="F41" s="574"/>
      <c r="G41" s="574"/>
      <c r="H41" s="574"/>
      <c r="I41" s="574"/>
      <c r="J41" s="60" t="str">
        <f>IF(AND('Mapa final'!$AB$28="Baja",'Mapa final'!$AD$28="Leve"),CONCATENATE("R6C",'Mapa final'!$R$28),"")</f>
        <v/>
      </c>
      <c r="K41" s="61" t="str">
        <f>IF(AND('Mapa final'!$AB$29="Baja",'Mapa final'!$AD$29="Leve"),CONCATENATE("R6C",'Mapa final'!$R$29),"")</f>
        <v/>
      </c>
      <c r="L41" s="61" t="str">
        <f>IF(AND('Mapa final'!$AB$30="Baja",'Mapa final'!$AD$30="Leve"),CONCATENATE("R6C",'Mapa final'!$R$30),"")</f>
        <v/>
      </c>
      <c r="M41" s="61" t="str">
        <f>IF(AND('Mapa final'!$AB$31="Baja",'Mapa final'!$AD$31="Leve"),CONCATENATE("R6C",'Mapa final'!$R$31),"")</f>
        <v/>
      </c>
      <c r="N41" s="61" t="str">
        <f>IF(AND('Mapa final'!$AB$32="Baja",'Mapa final'!$AD$32="Leve"),CONCATENATE("R6C",'Mapa final'!$R$32),"")</f>
        <v/>
      </c>
      <c r="O41" s="62" t="str">
        <f>IF(AND('Mapa final'!$AB$33="Baja",'Mapa final'!$AD$33="Leve"),CONCATENATE("R6C",'Mapa final'!$R$33),"")</f>
        <v/>
      </c>
      <c r="P41" s="51" t="str">
        <f>IF(AND('Mapa final'!$AB$28="Baja",'Mapa final'!$AD$28="Menor"),CONCATENATE("R6C",'Mapa final'!$R$28),"")</f>
        <v/>
      </c>
      <c r="Q41" s="52" t="str">
        <f>IF(AND('Mapa final'!$AB$29="Baja",'Mapa final'!$AD$29="Menor"),CONCATENATE("R6C",'Mapa final'!$R$29),"")</f>
        <v/>
      </c>
      <c r="R41" s="52" t="str">
        <f>IF(AND('Mapa final'!$AB$30="Baja",'Mapa final'!$AD$30="Menor"),CONCATENATE("R6C",'Mapa final'!$R$30),"")</f>
        <v/>
      </c>
      <c r="S41" s="52" t="str">
        <f>IF(AND('Mapa final'!$AB$31="Baja",'Mapa final'!$AD$31="Menor"),CONCATENATE("R6C",'Mapa final'!$R$31),"")</f>
        <v/>
      </c>
      <c r="T41" s="52" t="str">
        <f>IF(AND('Mapa final'!$AB$32="Baja",'Mapa final'!$AD$32="Menor"),CONCATENATE("R6C",'Mapa final'!$R$32),"")</f>
        <v/>
      </c>
      <c r="U41" s="53" t="str">
        <f>IF(AND('Mapa final'!$AB$33="Baja",'Mapa final'!$AD$33="Menor"),CONCATENATE("R6C",'Mapa final'!$R$33),"")</f>
        <v/>
      </c>
      <c r="V41" s="51" t="str">
        <f>IF(AND('Mapa final'!$AB$28="Baja",'Mapa final'!$AD$28="Moderado"),CONCATENATE("R6C",'Mapa final'!$R$28),"")</f>
        <v/>
      </c>
      <c r="W41" s="52" t="str">
        <f>IF(AND('Mapa final'!$AB$29="Baja",'Mapa final'!$AD$29="Moderado"),CONCATENATE("R6C",'Mapa final'!$R$29),"")</f>
        <v/>
      </c>
      <c r="X41" s="52" t="str">
        <f>IF(AND('Mapa final'!$AB$30="Baja",'Mapa final'!$AD$30="Moderado"),CONCATENATE("R6C",'Mapa final'!$R$30),"")</f>
        <v/>
      </c>
      <c r="Y41" s="52" t="str">
        <f>IF(AND('Mapa final'!$AB$31="Baja",'Mapa final'!$AD$31="Moderado"),CONCATENATE("R6C",'Mapa final'!$R$31),"")</f>
        <v/>
      </c>
      <c r="Z41" s="52" t="str">
        <f>IF(AND('Mapa final'!$AB$32="Baja",'Mapa final'!$AD$32="Moderado"),CONCATENATE("R6C",'Mapa final'!$R$32),"")</f>
        <v/>
      </c>
      <c r="AA41" s="53" t="str">
        <f>IF(AND('Mapa final'!$AB$33="Baja",'Mapa final'!$AD$33="Moderado"),CONCATENATE("R6C",'Mapa final'!$R$33),"")</f>
        <v/>
      </c>
      <c r="AB41" s="36" t="str">
        <f>IF(AND('Mapa final'!$AB$28="Baja",'Mapa final'!$AD$28="Mayor"),CONCATENATE("R6C",'Mapa final'!$R$28),"")</f>
        <v/>
      </c>
      <c r="AC41" s="37" t="str">
        <f>IF(AND('Mapa final'!$AB$29="Baja",'Mapa final'!$AD$29="Mayor"),CONCATENATE("R6C",'Mapa final'!$R$29),"")</f>
        <v/>
      </c>
      <c r="AD41" s="37" t="str">
        <f>IF(AND('Mapa final'!$AB$30="Baja",'Mapa final'!$AD$30="Mayor"),CONCATENATE("R6C",'Mapa final'!$R$30),"")</f>
        <v/>
      </c>
      <c r="AE41" s="37" t="str">
        <f>IF(AND('Mapa final'!$AB$31="Baja",'Mapa final'!$AD$31="Mayor"),CONCATENATE("R6C",'Mapa final'!$R$31),"")</f>
        <v/>
      </c>
      <c r="AF41" s="37" t="str">
        <f>IF(AND('Mapa final'!$AB$32="Baja",'Mapa final'!$AD$32="Mayor"),CONCATENATE("R6C",'Mapa final'!$R$32),"")</f>
        <v/>
      </c>
      <c r="AG41" s="38" t="str">
        <f>IF(AND('Mapa final'!$AB$33="Baja",'Mapa final'!$AD$33="Mayor"),CONCATENATE("R6C",'Mapa final'!$R$33),"")</f>
        <v/>
      </c>
      <c r="AH41" s="39" t="str">
        <f>IF(AND('Mapa final'!$AB$28="Baja",'Mapa final'!$AD$28="Catastrófico"),CONCATENATE("R6C",'Mapa final'!$R$28),"")</f>
        <v/>
      </c>
      <c r="AI41" s="40" t="str">
        <f>IF(AND('Mapa final'!$AB$29="Baja",'Mapa final'!$AD$29="Catastrófico"),CONCATENATE("R6C",'Mapa final'!$R$29),"")</f>
        <v/>
      </c>
      <c r="AJ41" s="40" t="str">
        <f>IF(AND('Mapa final'!$AB$30="Baja",'Mapa final'!$AD$30="Catastrófico"),CONCATENATE("R6C",'Mapa final'!$R$30),"")</f>
        <v/>
      </c>
      <c r="AK41" s="40" t="str">
        <f>IF(AND('Mapa final'!$AB$31="Baja",'Mapa final'!$AD$31="Catastrófico"),CONCATENATE("R6C",'Mapa final'!$R$31),"")</f>
        <v/>
      </c>
      <c r="AL41" s="40" t="str">
        <f>IF(AND('Mapa final'!$AB$32="Baja",'Mapa final'!$AD$32="Catastrófico"),CONCATENATE("R6C",'Mapa final'!$R$32),"")</f>
        <v/>
      </c>
      <c r="AM41" s="41" t="str">
        <f>IF(AND('Mapa final'!$AB$33="Baja",'Mapa final'!$AD$33="Catastrófico"),CONCATENATE("R6C",'Mapa final'!$R$33),"")</f>
        <v/>
      </c>
      <c r="AN41" s="67"/>
      <c r="AO41" s="604"/>
      <c r="AP41" s="605"/>
      <c r="AQ41" s="605"/>
      <c r="AR41" s="605"/>
      <c r="AS41" s="605"/>
      <c r="AT41" s="606"/>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row>
    <row r="42" spans="1:80" ht="15" customHeight="1" x14ac:dyDescent="0.3">
      <c r="A42" s="67"/>
      <c r="B42" s="532"/>
      <c r="C42" s="532"/>
      <c r="D42" s="533"/>
      <c r="E42" s="573"/>
      <c r="F42" s="574"/>
      <c r="G42" s="574"/>
      <c r="H42" s="574"/>
      <c r="I42" s="574"/>
      <c r="J42" s="60" t="str">
        <f>IF(AND('Mapa final'!$AB$34="Baja",'Mapa final'!$AD$34="Leve"),CONCATENATE("R7C",'Mapa final'!$R$34),"")</f>
        <v/>
      </c>
      <c r="K42" s="61" t="str">
        <f>IF(AND('Mapa final'!$AB$35="Baja",'Mapa final'!$AD$35="Leve"),CONCATENATE("R7C",'Mapa final'!$R$35),"")</f>
        <v/>
      </c>
      <c r="L42" s="61" t="str">
        <f>IF(AND('Mapa final'!$AB$36="Baja",'Mapa final'!$AD$36="Leve"),CONCATENATE("R7C",'Mapa final'!$R$36),"")</f>
        <v/>
      </c>
      <c r="M42" s="61" t="str">
        <f>IF(AND('Mapa final'!$AB$37="Baja",'Mapa final'!$AD$37="Leve"),CONCATENATE("R7C",'Mapa final'!$R$37),"")</f>
        <v/>
      </c>
      <c r="N42" s="61" t="str">
        <f>IF(AND('Mapa final'!$AB$38="Baja",'Mapa final'!$AD$38="Leve"),CONCATENATE("R7C",'Mapa final'!$R$38),"")</f>
        <v/>
      </c>
      <c r="O42" s="62" t="str">
        <f>IF(AND('Mapa final'!$AB$39="Baja",'Mapa final'!$AD$39="Leve"),CONCATENATE("R7C",'Mapa final'!$R$39),"")</f>
        <v/>
      </c>
      <c r="P42" s="51" t="str">
        <f>IF(AND('Mapa final'!$AB$34="Baja",'Mapa final'!$AD$34="Menor"),CONCATENATE("R7C",'Mapa final'!$R$34),"")</f>
        <v/>
      </c>
      <c r="Q42" s="52" t="str">
        <f>IF(AND('Mapa final'!$AB$35="Baja",'Mapa final'!$AD$35="Menor"),CONCATENATE("R7C",'Mapa final'!$R$35),"")</f>
        <v/>
      </c>
      <c r="R42" s="52" t="str">
        <f>IF(AND('Mapa final'!$AB$36="Baja",'Mapa final'!$AD$36="Menor"),CONCATENATE("R7C",'Mapa final'!$R$36),"")</f>
        <v/>
      </c>
      <c r="S42" s="52" t="str">
        <f>IF(AND('Mapa final'!$AB$37="Baja",'Mapa final'!$AD$37="Menor"),CONCATENATE("R7C",'Mapa final'!$R$37),"")</f>
        <v/>
      </c>
      <c r="T42" s="52" t="str">
        <f>IF(AND('Mapa final'!$AB$38="Baja",'Mapa final'!$AD$38="Menor"),CONCATENATE("R7C",'Mapa final'!$R$38),"")</f>
        <v/>
      </c>
      <c r="U42" s="53" t="str">
        <f>IF(AND('Mapa final'!$AB$39="Baja",'Mapa final'!$AD$39="Menor"),CONCATENATE("R7C",'Mapa final'!$R$39),"")</f>
        <v/>
      </c>
      <c r="V42" s="51" t="str">
        <f>IF(AND('Mapa final'!$AB$34="Baja",'Mapa final'!$AD$34="Moderado"),CONCATENATE("R7C",'Mapa final'!$R$34),"")</f>
        <v/>
      </c>
      <c r="W42" s="52" t="str">
        <f>IF(AND('Mapa final'!$AB$35="Baja",'Mapa final'!$AD$35="Moderado"),CONCATENATE("R7C",'Mapa final'!$R$35),"")</f>
        <v/>
      </c>
      <c r="X42" s="52" t="str">
        <f>IF(AND('Mapa final'!$AB$36="Baja",'Mapa final'!$AD$36="Moderado"),CONCATENATE("R7C",'Mapa final'!$R$36),"")</f>
        <v/>
      </c>
      <c r="Y42" s="52" t="str">
        <f>IF(AND('Mapa final'!$AB$37="Baja",'Mapa final'!$AD$37="Moderado"),CONCATENATE("R7C",'Mapa final'!$R$37),"")</f>
        <v/>
      </c>
      <c r="Z42" s="52" t="str">
        <f>IF(AND('Mapa final'!$AB$38="Baja",'Mapa final'!$AD$38="Moderado"),CONCATENATE("R7C",'Mapa final'!$R$38),"")</f>
        <v/>
      </c>
      <c r="AA42" s="53" t="str">
        <f>IF(AND('Mapa final'!$AB$39="Baja",'Mapa final'!$AD$39="Moderado"),CONCATENATE("R7C",'Mapa final'!$R$39),"")</f>
        <v/>
      </c>
      <c r="AB42" s="36" t="str">
        <f>IF(AND('Mapa final'!$AB$34="Baja",'Mapa final'!$AD$34="Mayor"),CONCATENATE("R7C",'Mapa final'!$R$34),"")</f>
        <v/>
      </c>
      <c r="AC42" s="37" t="str">
        <f>IF(AND('Mapa final'!$AB$35="Baja",'Mapa final'!$AD$35="Mayor"),CONCATENATE("R7C",'Mapa final'!$R$35),"")</f>
        <v/>
      </c>
      <c r="AD42" s="37" t="str">
        <f>IF(AND('Mapa final'!$AB$36="Baja",'Mapa final'!$AD$36="Mayor"),CONCATENATE("R7C",'Mapa final'!$R$36),"")</f>
        <v/>
      </c>
      <c r="AE42" s="37" t="str">
        <f>IF(AND('Mapa final'!$AB$37="Baja",'Mapa final'!$AD$37="Mayor"),CONCATENATE("R7C",'Mapa final'!$R$37),"")</f>
        <v/>
      </c>
      <c r="AF42" s="37" t="str">
        <f>IF(AND('Mapa final'!$AB$38="Baja",'Mapa final'!$AD$38="Mayor"),CONCATENATE("R7C",'Mapa final'!$R$38),"")</f>
        <v/>
      </c>
      <c r="AG42" s="38" t="str">
        <f>IF(AND('Mapa final'!$AB$39="Baja",'Mapa final'!$AD$39="Mayor"),CONCATENATE("R7C",'Mapa final'!$R$39),"")</f>
        <v/>
      </c>
      <c r="AH42" s="39" t="str">
        <f>IF(AND('Mapa final'!$AB$34="Baja",'Mapa final'!$AD$34="Catastrófico"),CONCATENATE("R7C",'Mapa final'!$R$34),"")</f>
        <v/>
      </c>
      <c r="AI42" s="40" t="str">
        <f>IF(AND('Mapa final'!$AB$35="Baja",'Mapa final'!$AD$35="Catastrófico"),CONCATENATE("R7C",'Mapa final'!$R$35),"")</f>
        <v/>
      </c>
      <c r="AJ42" s="40" t="str">
        <f>IF(AND('Mapa final'!$AB$36="Baja",'Mapa final'!$AD$36="Catastrófico"),CONCATENATE("R7C",'Mapa final'!$R$36),"")</f>
        <v/>
      </c>
      <c r="AK42" s="40" t="str">
        <f>IF(AND('Mapa final'!$AB$37="Baja",'Mapa final'!$AD$37="Catastrófico"),CONCATENATE("R7C",'Mapa final'!$R$37),"")</f>
        <v/>
      </c>
      <c r="AL42" s="40" t="str">
        <f>IF(AND('Mapa final'!$AB$38="Baja",'Mapa final'!$AD$38="Catastrófico"),CONCATENATE("R7C",'Mapa final'!$R$38),"")</f>
        <v/>
      </c>
      <c r="AM42" s="41" t="str">
        <f>IF(AND('Mapa final'!$AB$39="Baja",'Mapa final'!$AD$39="Catastrófico"),CONCATENATE("R7C",'Mapa final'!$R$39),"")</f>
        <v/>
      </c>
      <c r="AN42" s="67"/>
      <c r="AO42" s="604"/>
      <c r="AP42" s="605"/>
      <c r="AQ42" s="605"/>
      <c r="AR42" s="605"/>
      <c r="AS42" s="605"/>
      <c r="AT42" s="606"/>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row>
    <row r="43" spans="1:80" ht="15" customHeight="1" x14ac:dyDescent="0.3">
      <c r="A43" s="67"/>
      <c r="B43" s="532"/>
      <c r="C43" s="532"/>
      <c r="D43" s="533"/>
      <c r="E43" s="573"/>
      <c r="F43" s="574"/>
      <c r="G43" s="574"/>
      <c r="H43" s="574"/>
      <c r="I43" s="574"/>
      <c r="J43" s="60" t="str">
        <f>IF(AND('Mapa final'!$AB$40="Baja",'Mapa final'!$AD$40="Leve"),CONCATENATE("R8C",'Mapa final'!$R$40),"")</f>
        <v/>
      </c>
      <c r="K43" s="61" t="str">
        <f>IF(AND('Mapa final'!$AB$41="Baja",'Mapa final'!$AD$41="Leve"),CONCATENATE("R8C",'Mapa final'!$R$41),"")</f>
        <v/>
      </c>
      <c r="L43" s="61" t="str">
        <f>IF(AND('Mapa final'!$AB$42="Baja",'Mapa final'!$AD$42="Leve"),CONCATENATE("R8C",'Mapa final'!$R$42),"")</f>
        <v/>
      </c>
      <c r="M43" s="61" t="str">
        <f>IF(AND('Mapa final'!$AB$43="Baja",'Mapa final'!$AD$43="Leve"),CONCATENATE("R8C",'Mapa final'!$R$43),"")</f>
        <v/>
      </c>
      <c r="N43" s="61" t="str">
        <f>IF(AND('Mapa final'!$AB$44="Baja",'Mapa final'!$AD$44="Leve"),CONCATENATE("R8C",'Mapa final'!$R$44),"")</f>
        <v/>
      </c>
      <c r="O43" s="62" t="str">
        <f>IF(AND('Mapa final'!$AB$45="Baja",'Mapa final'!$AD$45="Leve"),CONCATENATE("R8C",'Mapa final'!$R$45),"")</f>
        <v/>
      </c>
      <c r="P43" s="51" t="str">
        <f>IF(AND('Mapa final'!$AB$40="Baja",'Mapa final'!$AD$40="Menor"),CONCATENATE("R8C",'Mapa final'!$R$40),"")</f>
        <v/>
      </c>
      <c r="Q43" s="52" t="str">
        <f>IF(AND('Mapa final'!$AB$41="Baja",'Mapa final'!$AD$41="Menor"),CONCATENATE("R8C",'Mapa final'!$R$41),"")</f>
        <v/>
      </c>
      <c r="R43" s="52" t="str">
        <f>IF(AND('Mapa final'!$AB$42="Baja",'Mapa final'!$AD$42="Menor"),CONCATENATE("R8C",'Mapa final'!$R$42),"")</f>
        <v/>
      </c>
      <c r="S43" s="52" t="str">
        <f>IF(AND('Mapa final'!$AB$43="Baja",'Mapa final'!$AD$43="Menor"),CONCATENATE("R8C",'Mapa final'!$R$43),"")</f>
        <v/>
      </c>
      <c r="T43" s="52" t="str">
        <f>IF(AND('Mapa final'!$AB$44="Baja",'Mapa final'!$AD$44="Menor"),CONCATENATE("R8C",'Mapa final'!$R$44),"")</f>
        <v/>
      </c>
      <c r="U43" s="53" t="str">
        <f>IF(AND('Mapa final'!$AB$45="Baja",'Mapa final'!$AD$45="Menor"),CONCATENATE("R8C",'Mapa final'!$R$45),"")</f>
        <v/>
      </c>
      <c r="V43" s="51" t="str">
        <f>IF(AND('Mapa final'!$AB$40="Baja",'Mapa final'!$AD$40="Moderado"),CONCATENATE("R8C",'Mapa final'!$R$40),"")</f>
        <v/>
      </c>
      <c r="W43" s="52" t="str">
        <f>IF(AND('Mapa final'!$AB$41="Baja",'Mapa final'!$AD$41="Moderado"),CONCATENATE("R8C",'Mapa final'!$R$41),"")</f>
        <v/>
      </c>
      <c r="X43" s="52" t="str">
        <f>IF(AND('Mapa final'!$AB$42="Baja",'Mapa final'!$AD$42="Moderado"),CONCATENATE("R8C",'Mapa final'!$R$42),"")</f>
        <v/>
      </c>
      <c r="Y43" s="52" t="str">
        <f>IF(AND('Mapa final'!$AB$43="Baja",'Mapa final'!$AD$43="Moderado"),CONCATENATE("R8C",'Mapa final'!$R$43),"")</f>
        <v/>
      </c>
      <c r="Z43" s="52" t="str">
        <f>IF(AND('Mapa final'!$AB$44="Baja",'Mapa final'!$AD$44="Moderado"),CONCATENATE("R8C",'Mapa final'!$R$44),"")</f>
        <v/>
      </c>
      <c r="AA43" s="53" t="str">
        <f>IF(AND('Mapa final'!$AB$45="Baja",'Mapa final'!$AD$45="Moderado"),CONCATENATE("R8C",'Mapa final'!$R$45),"")</f>
        <v/>
      </c>
      <c r="AB43" s="36" t="str">
        <f>IF(AND('Mapa final'!$AB$40="Baja",'Mapa final'!$AD$40="Mayor"),CONCATENATE("R8C",'Mapa final'!$R$40),"")</f>
        <v/>
      </c>
      <c r="AC43" s="37" t="str">
        <f>IF(AND('Mapa final'!$AB$41="Baja",'Mapa final'!$AD$41="Mayor"),CONCATENATE("R8C",'Mapa final'!$R$41),"")</f>
        <v/>
      </c>
      <c r="AD43" s="37" t="str">
        <f>IF(AND('Mapa final'!$AB$42="Baja",'Mapa final'!$AD$42="Mayor"),CONCATENATE("R8C",'Mapa final'!$R$42),"")</f>
        <v/>
      </c>
      <c r="AE43" s="37" t="str">
        <f>IF(AND('Mapa final'!$AB$43="Baja",'Mapa final'!$AD$43="Mayor"),CONCATENATE("R8C",'Mapa final'!$R$43),"")</f>
        <v/>
      </c>
      <c r="AF43" s="37" t="str">
        <f>IF(AND('Mapa final'!$AB$44="Baja",'Mapa final'!$AD$44="Mayor"),CONCATENATE("R8C",'Mapa final'!$R$44),"")</f>
        <v/>
      </c>
      <c r="AG43" s="38" t="str">
        <f>IF(AND('Mapa final'!$AB$45="Baja",'Mapa final'!$AD$45="Mayor"),CONCATENATE("R8C",'Mapa final'!$R$45),"")</f>
        <v/>
      </c>
      <c r="AH43" s="39" t="str">
        <f>IF(AND('Mapa final'!$AB$40="Baja",'Mapa final'!$AD$40="Catastrófico"),CONCATENATE("R8C",'Mapa final'!$R$40),"")</f>
        <v/>
      </c>
      <c r="AI43" s="40" t="str">
        <f>IF(AND('Mapa final'!$AB$41="Baja",'Mapa final'!$AD$41="Catastrófico"),CONCATENATE("R8C",'Mapa final'!$R$41),"")</f>
        <v/>
      </c>
      <c r="AJ43" s="40" t="str">
        <f>IF(AND('Mapa final'!$AB$42="Baja",'Mapa final'!$AD$42="Catastrófico"),CONCATENATE("R8C",'Mapa final'!$R$42),"")</f>
        <v/>
      </c>
      <c r="AK43" s="40" t="str">
        <f>IF(AND('Mapa final'!$AB$43="Baja",'Mapa final'!$AD$43="Catastrófico"),CONCATENATE("R8C",'Mapa final'!$R$43),"")</f>
        <v/>
      </c>
      <c r="AL43" s="40" t="str">
        <f>IF(AND('Mapa final'!$AB$44="Baja",'Mapa final'!$AD$44="Catastrófico"),CONCATENATE("R8C",'Mapa final'!$R$44),"")</f>
        <v/>
      </c>
      <c r="AM43" s="41" t="str">
        <f>IF(AND('Mapa final'!$AB$45="Baja",'Mapa final'!$AD$45="Catastrófico"),CONCATENATE("R8C",'Mapa final'!$R$45),"")</f>
        <v/>
      </c>
      <c r="AN43" s="67"/>
      <c r="AO43" s="604"/>
      <c r="AP43" s="605"/>
      <c r="AQ43" s="605"/>
      <c r="AR43" s="605"/>
      <c r="AS43" s="605"/>
      <c r="AT43" s="606"/>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row>
    <row r="44" spans="1:80" ht="15" customHeight="1" x14ac:dyDescent="0.3">
      <c r="A44" s="67"/>
      <c r="B44" s="532"/>
      <c r="C44" s="532"/>
      <c r="D44" s="533"/>
      <c r="E44" s="573"/>
      <c r="F44" s="574"/>
      <c r="G44" s="574"/>
      <c r="H44" s="574"/>
      <c r="I44" s="574"/>
      <c r="J44" s="60" t="str">
        <f>IF(AND('Mapa final'!$AB$46="Baja",'Mapa final'!$AD$46="Leve"),CONCATENATE("R9C",'Mapa final'!$R$46),"")</f>
        <v/>
      </c>
      <c r="K44" s="61" t="str">
        <f>IF(AND('Mapa final'!$AB$47="Baja",'Mapa final'!$AD$47="Leve"),CONCATENATE("R9C",'Mapa final'!$R$47),"")</f>
        <v/>
      </c>
      <c r="L44" s="61" t="str">
        <f>IF(AND('Mapa final'!$AB$48="Baja",'Mapa final'!$AD$48="Leve"),CONCATENATE("R9C",'Mapa final'!$R$48),"")</f>
        <v/>
      </c>
      <c r="M44" s="61" t="str">
        <f>IF(AND('Mapa final'!$AB$49="Baja",'Mapa final'!$AD$49="Leve"),CONCATENATE("R9C",'Mapa final'!$R$49),"")</f>
        <v/>
      </c>
      <c r="N44" s="61" t="str">
        <f>IF(AND('Mapa final'!$AB$50="Baja",'Mapa final'!$AD$50="Leve"),CONCATENATE("R9C",'Mapa final'!$R$50),"")</f>
        <v/>
      </c>
      <c r="O44" s="62" t="str">
        <f>IF(AND('Mapa final'!$AB$51="Baja",'Mapa final'!$AD$51="Leve"),CONCATENATE("R9C",'Mapa final'!$R$51),"")</f>
        <v/>
      </c>
      <c r="P44" s="51" t="str">
        <f>IF(AND('Mapa final'!$AB$46="Baja",'Mapa final'!$AD$46="Menor"),CONCATENATE("R9C",'Mapa final'!$R$46),"")</f>
        <v/>
      </c>
      <c r="Q44" s="52" t="str">
        <f>IF(AND('Mapa final'!$AB$47="Baja",'Mapa final'!$AD$47="Menor"),CONCATENATE("R9C",'Mapa final'!$R$47),"")</f>
        <v/>
      </c>
      <c r="R44" s="52" t="str">
        <f>IF(AND('Mapa final'!$AB$48="Baja",'Mapa final'!$AD$48="Menor"),CONCATENATE("R9C",'Mapa final'!$R$48),"")</f>
        <v/>
      </c>
      <c r="S44" s="52" t="str">
        <f>IF(AND('Mapa final'!$AB$49="Baja",'Mapa final'!$AD$49="Menor"),CONCATENATE("R9C",'Mapa final'!$R$49),"")</f>
        <v/>
      </c>
      <c r="T44" s="52" t="str">
        <f>IF(AND('Mapa final'!$AB$50="Baja",'Mapa final'!$AD$50="Menor"),CONCATENATE("R9C",'Mapa final'!$R$50),"")</f>
        <v/>
      </c>
      <c r="U44" s="53" t="str">
        <f>IF(AND('Mapa final'!$AB$51="Baja",'Mapa final'!$AD$51="Menor"),CONCATENATE("R9C",'Mapa final'!$R$51),"")</f>
        <v/>
      </c>
      <c r="V44" s="51" t="str">
        <f>IF(AND('Mapa final'!$AB$46="Baja",'Mapa final'!$AD$46="Moderado"),CONCATENATE("R9C",'Mapa final'!$R$46),"")</f>
        <v/>
      </c>
      <c r="W44" s="52" t="str">
        <f>IF(AND('Mapa final'!$AB$47="Baja",'Mapa final'!$AD$47="Moderado"),CONCATENATE("R9C",'Mapa final'!$R$47),"")</f>
        <v/>
      </c>
      <c r="X44" s="52" t="str">
        <f>IF(AND('Mapa final'!$AB$48="Baja",'Mapa final'!$AD$48="Moderado"),CONCATENATE("R9C",'Mapa final'!$R$48),"")</f>
        <v/>
      </c>
      <c r="Y44" s="52" t="str">
        <f>IF(AND('Mapa final'!$AB$49="Baja",'Mapa final'!$AD$49="Moderado"),CONCATENATE("R9C",'Mapa final'!$R$49),"")</f>
        <v/>
      </c>
      <c r="Z44" s="52" t="str">
        <f>IF(AND('Mapa final'!$AB$50="Baja",'Mapa final'!$AD$50="Moderado"),CONCATENATE("R9C",'Mapa final'!$R$50),"")</f>
        <v/>
      </c>
      <c r="AA44" s="53" t="str">
        <f>IF(AND('Mapa final'!$AB$51="Baja",'Mapa final'!$AD$51="Moderado"),CONCATENATE("R9C",'Mapa final'!$R$51),"")</f>
        <v/>
      </c>
      <c r="AB44" s="36" t="str">
        <f>IF(AND('Mapa final'!$AB$46="Baja",'Mapa final'!$AD$46="Mayor"),CONCATENATE("R9C",'Mapa final'!$R$46),"")</f>
        <v/>
      </c>
      <c r="AC44" s="37" t="str">
        <f>IF(AND('Mapa final'!$AB$47="Baja",'Mapa final'!$AD$47="Mayor"),CONCATENATE("R9C",'Mapa final'!$R$47),"")</f>
        <v/>
      </c>
      <c r="AD44" s="37" t="str">
        <f>IF(AND('Mapa final'!$AB$48="Baja",'Mapa final'!$AD$48="Mayor"),CONCATENATE("R9C",'Mapa final'!$R$48),"")</f>
        <v/>
      </c>
      <c r="AE44" s="37" t="str">
        <f>IF(AND('Mapa final'!$AB$49="Baja",'Mapa final'!$AD$49="Mayor"),CONCATENATE("R9C",'Mapa final'!$R$49),"")</f>
        <v/>
      </c>
      <c r="AF44" s="37" t="str">
        <f>IF(AND('Mapa final'!$AB$50="Baja",'Mapa final'!$AD$50="Mayor"),CONCATENATE("R9C",'Mapa final'!$R$50),"")</f>
        <v/>
      </c>
      <c r="AG44" s="38" t="str">
        <f>IF(AND('Mapa final'!$AB$51="Baja",'Mapa final'!$AD$51="Mayor"),CONCATENATE("R9C",'Mapa final'!$R$51),"")</f>
        <v/>
      </c>
      <c r="AH44" s="39" t="str">
        <f>IF(AND('Mapa final'!$AB$46="Baja",'Mapa final'!$AD$46="Catastrófico"),CONCATENATE("R9C",'Mapa final'!$R$46),"")</f>
        <v/>
      </c>
      <c r="AI44" s="40" t="str">
        <f>IF(AND('Mapa final'!$AB$47="Baja",'Mapa final'!$AD$47="Catastrófico"),CONCATENATE("R9C",'Mapa final'!$R$47),"")</f>
        <v/>
      </c>
      <c r="AJ44" s="40" t="str">
        <f>IF(AND('Mapa final'!$AB$48="Baja",'Mapa final'!$AD$48="Catastrófico"),CONCATENATE("R9C",'Mapa final'!$R$48),"")</f>
        <v/>
      </c>
      <c r="AK44" s="40" t="str">
        <f>IF(AND('Mapa final'!$AB$49="Baja",'Mapa final'!$AD$49="Catastrófico"),CONCATENATE("R9C",'Mapa final'!$R$49),"")</f>
        <v/>
      </c>
      <c r="AL44" s="40" t="str">
        <f>IF(AND('Mapa final'!$AB$50="Baja",'Mapa final'!$AD$50="Catastrófico"),CONCATENATE("R9C",'Mapa final'!$R$50),"")</f>
        <v/>
      </c>
      <c r="AM44" s="41" t="str">
        <f>IF(AND('Mapa final'!$AB$51="Baja",'Mapa final'!$AD$51="Catastrófico"),CONCATENATE("R9C",'Mapa final'!$R$51),"")</f>
        <v/>
      </c>
      <c r="AN44" s="67"/>
      <c r="AO44" s="604"/>
      <c r="AP44" s="605"/>
      <c r="AQ44" s="605"/>
      <c r="AR44" s="605"/>
      <c r="AS44" s="605"/>
      <c r="AT44" s="606"/>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row>
    <row r="45" spans="1:80" ht="15.75" customHeight="1" thickBot="1" x14ac:dyDescent="0.35">
      <c r="A45" s="67"/>
      <c r="B45" s="532"/>
      <c r="C45" s="532"/>
      <c r="D45" s="533"/>
      <c r="E45" s="576"/>
      <c r="F45" s="577"/>
      <c r="G45" s="577"/>
      <c r="H45" s="577"/>
      <c r="I45" s="577"/>
      <c r="J45" s="63" t="str">
        <f>IF(AND('Mapa final'!$AB$52="Baja",'Mapa final'!$AD$52="Leve"),CONCATENATE("R10C",'Mapa final'!$R$52),"")</f>
        <v/>
      </c>
      <c r="K45" s="64" t="str">
        <f>IF(AND('Mapa final'!$AB$53="Baja",'Mapa final'!$AD$53="Leve"),CONCATENATE("R10C",'Mapa final'!$R$53),"")</f>
        <v/>
      </c>
      <c r="L45" s="64" t="str">
        <f>IF(AND('Mapa final'!$AB$54="Baja",'Mapa final'!$AD$54="Leve"),CONCATENATE("R10C",'Mapa final'!$R$54),"")</f>
        <v/>
      </c>
      <c r="M45" s="64" t="str">
        <f>IF(AND('Mapa final'!$AB$55="Baja",'Mapa final'!$AD$55="Leve"),CONCATENATE("R10C",'Mapa final'!$R$55),"")</f>
        <v/>
      </c>
      <c r="N45" s="64" t="str">
        <f>IF(AND('Mapa final'!$AB$56="Baja",'Mapa final'!$AD$56="Leve"),CONCATENATE("R10C",'Mapa final'!$R$56),"")</f>
        <v/>
      </c>
      <c r="O45" s="65" t="str">
        <f>IF(AND('Mapa final'!$AB$57="Baja",'Mapa final'!$AD$57="Leve"),CONCATENATE("R10C",'Mapa final'!$R$57),"")</f>
        <v/>
      </c>
      <c r="P45" s="51" t="str">
        <f>IF(AND('Mapa final'!$AB$52="Baja",'Mapa final'!$AD$52="Menor"),CONCATENATE("R10C",'Mapa final'!$R$52),"")</f>
        <v/>
      </c>
      <c r="Q45" s="52" t="str">
        <f>IF(AND('Mapa final'!$AB$53="Baja",'Mapa final'!$AD$53="Menor"),CONCATENATE("R10C",'Mapa final'!$R$53),"")</f>
        <v/>
      </c>
      <c r="R45" s="52" t="str">
        <f>IF(AND('Mapa final'!$AB$54="Baja",'Mapa final'!$AD$54="Menor"),CONCATENATE("R10C",'Mapa final'!$R$54),"")</f>
        <v/>
      </c>
      <c r="S45" s="52" t="str">
        <f>IF(AND('Mapa final'!$AB$55="Baja",'Mapa final'!$AD$55="Menor"),CONCATENATE("R10C",'Mapa final'!$R$55),"")</f>
        <v/>
      </c>
      <c r="T45" s="52" t="str">
        <f>IF(AND('Mapa final'!$AB$56="Baja",'Mapa final'!$AD$56="Menor"),CONCATENATE("R10C",'Mapa final'!$R$56),"")</f>
        <v/>
      </c>
      <c r="U45" s="53" t="str">
        <f>IF(AND('Mapa final'!$AB$57="Baja",'Mapa final'!$AD$57="Menor"),CONCATENATE("R10C",'Mapa final'!$R$57),"")</f>
        <v/>
      </c>
      <c r="V45" s="54" t="str">
        <f>IF(AND('Mapa final'!$AB$52="Baja",'Mapa final'!$AD$52="Moderado"),CONCATENATE("R10C",'Mapa final'!$R$52),"")</f>
        <v/>
      </c>
      <c r="W45" s="55" t="str">
        <f>IF(AND('Mapa final'!$AB$53="Baja",'Mapa final'!$AD$53="Moderado"),CONCATENATE("R10C",'Mapa final'!$R$53),"")</f>
        <v/>
      </c>
      <c r="X45" s="55" t="str">
        <f>IF(AND('Mapa final'!$AB$54="Baja",'Mapa final'!$AD$54="Moderado"),CONCATENATE("R10C",'Mapa final'!$R$54),"")</f>
        <v/>
      </c>
      <c r="Y45" s="55" t="str">
        <f>IF(AND('Mapa final'!$AB$55="Baja",'Mapa final'!$AD$55="Moderado"),CONCATENATE("R10C",'Mapa final'!$R$55),"")</f>
        <v/>
      </c>
      <c r="Z45" s="55" t="str">
        <f>IF(AND('Mapa final'!$AB$56="Baja",'Mapa final'!$AD$56="Moderado"),CONCATENATE("R10C",'Mapa final'!$R$56),"")</f>
        <v/>
      </c>
      <c r="AA45" s="56" t="str">
        <f>IF(AND('Mapa final'!$AB$57="Baja",'Mapa final'!$AD$57="Moderado"),CONCATENATE("R10C",'Mapa final'!$R$57),"")</f>
        <v/>
      </c>
      <c r="AB45" s="42" t="str">
        <f>IF(AND('Mapa final'!$AB$52="Baja",'Mapa final'!$AD$52="Mayor"),CONCATENATE("R10C",'Mapa final'!$R$52),"")</f>
        <v/>
      </c>
      <c r="AC45" s="43" t="str">
        <f>IF(AND('Mapa final'!$AB$53="Baja",'Mapa final'!$AD$53="Mayor"),CONCATENATE("R10C",'Mapa final'!$R$53),"")</f>
        <v/>
      </c>
      <c r="AD45" s="43" t="str">
        <f>IF(AND('Mapa final'!$AB$54="Baja",'Mapa final'!$AD$54="Mayor"),CONCATENATE("R10C",'Mapa final'!$R$54),"")</f>
        <v/>
      </c>
      <c r="AE45" s="43" t="str">
        <f>IF(AND('Mapa final'!$AB$55="Baja",'Mapa final'!$AD$55="Mayor"),CONCATENATE("R10C",'Mapa final'!$R$55),"")</f>
        <v/>
      </c>
      <c r="AF45" s="43" t="str">
        <f>IF(AND('Mapa final'!$AB$56="Baja",'Mapa final'!$AD$56="Mayor"),CONCATENATE("R10C",'Mapa final'!$R$56),"")</f>
        <v/>
      </c>
      <c r="AG45" s="44" t="str">
        <f>IF(AND('Mapa final'!$AB$57="Baja",'Mapa final'!$AD$57="Mayor"),CONCATENATE("R10C",'Mapa final'!$R$57),"")</f>
        <v/>
      </c>
      <c r="AH45" s="45" t="str">
        <f>IF(AND('Mapa final'!$AB$52="Baja",'Mapa final'!$AD$52="Catastrófico"),CONCATENATE("R10C",'Mapa final'!$R$52),"")</f>
        <v/>
      </c>
      <c r="AI45" s="46" t="str">
        <f>IF(AND('Mapa final'!$AB$53="Baja",'Mapa final'!$AD$53="Catastrófico"),CONCATENATE("R10C",'Mapa final'!$R$53),"")</f>
        <v/>
      </c>
      <c r="AJ45" s="46" t="str">
        <f>IF(AND('Mapa final'!$AB$54="Baja",'Mapa final'!$AD$54="Catastrófico"),CONCATENATE("R10C",'Mapa final'!$R$54),"")</f>
        <v/>
      </c>
      <c r="AK45" s="46" t="str">
        <f>IF(AND('Mapa final'!$AB$55="Baja",'Mapa final'!$AD$55="Catastrófico"),CONCATENATE("R10C",'Mapa final'!$R$55),"")</f>
        <v/>
      </c>
      <c r="AL45" s="46" t="str">
        <f>IF(AND('Mapa final'!$AB$56="Baja",'Mapa final'!$AD$56="Catastrófico"),CONCATENATE("R10C",'Mapa final'!$R$56),"")</f>
        <v/>
      </c>
      <c r="AM45" s="47" t="str">
        <f>IF(AND('Mapa final'!$AB$57="Baja",'Mapa final'!$AD$57="Catastrófico"),CONCATENATE("R10C",'Mapa final'!$R$57),"")</f>
        <v/>
      </c>
      <c r="AN45" s="67"/>
      <c r="AO45" s="607"/>
      <c r="AP45" s="608"/>
      <c r="AQ45" s="608"/>
      <c r="AR45" s="608"/>
      <c r="AS45" s="608"/>
      <c r="AT45" s="609"/>
    </row>
    <row r="46" spans="1:80" ht="46.5" customHeight="1" x14ac:dyDescent="0.45">
      <c r="A46" s="67"/>
      <c r="B46" s="532"/>
      <c r="C46" s="532"/>
      <c r="D46" s="533"/>
      <c r="E46" s="570" t="s">
        <v>108</v>
      </c>
      <c r="F46" s="571"/>
      <c r="G46" s="571"/>
      <c r="H46" s="571"/>
      <c r="I46" s="572"/>
      <c r="J46" s="57" t="str">
        <f>IF(AND('Mapa final'!$AB$10="Muy Baja",'Mapa final'!$AD$10="Leve"),CONCATENATE("R1C",'Mapa final'!$R$10),"")</f>
        <v/>
      </c>
      <c r="K46" s="58" t="str">
        <f>IF(AND('Mapa final'!$AB$11="Muy Baja",'Mapa final'!$AD$11="Leve"),CONCATENATE("R1C",'Mapa final'!$R$11),"")</f>
        <v/>
      </c>
      <c r="L46" s="58" t="e">
        <f>IF(AND('Mapa final'!#REF!="Muy Baja",'Mapa final'!#REF!="Leve"),CONCATENATE("R1C",'Mapa final'!#REF!),"")</f>
        <v>#REF!</v>
      </c>
      <c r="M46" s="58" t="e">
        <f>IF(AND('Mapa final'!#REF!="Muy Baja",'Mapa final'!#REF!="Leve"),CONCATENATE("R1C",'Mapa final'!#REF!),"")</f>
        <v>#REF!</v>
      </c>
      <c r="N46" s="58" t="e">
        <f>IF(AND('Mapa final'!#REF!="Muy Baja",'Mapa final'!#REF!="Leve"),CONCATENATE("R1C",'Mapa final'!#REF!),"")</f>
        <v>#REF!</v>
      </c>
      <c r="O46" s="59" t="e">
        <f>IF(AND('Mapa final'!#REF!="Muy Baja",'Mapa final'!#REF!="Leve"),CONCATENATE("R1C",'Mapa final'!#REF!),"")</f>
        <v>#REF!</v>
      </c>
      <c r="P46" s="57" t="str">
        <f>IF(AND('Mapa final'!$AB$10="Muy Baja",'Mapa final'!$AD$10="Menor"),CONCATENATE("R1C",'Mapa final'!$R$10),"")</f>
        <v/>
      </c>
      <c r="Q46" s="58" t="str">
        <f>IF(AND('Mapa final'!$AB$11="Muy Baja",'Mapa final'!$AD$11="Menor"),CONCATENATE("R1C",'Mapa final'!$R$11),"")</f>
        <v/>
      </c>
      <c r="R46" s="58" t="e">
        <f>IF(AND('Mapa final'!#REF!="Muy Baja",'Mapa final'!#REF!="Menor"),CONCATENATE("R1C",'Mapa final'!#REF!),"")</f>
        <v>#REF!</v>
      </c>
      <c r="S46" s="58" t="e">
        <f>IF(AND('Mapa final'!#REF!="Muy Baja",'Mapa final'!#REF!="Menor"),CONCATENATE("R1C",'Mapa final'!#REF!),"")</f>
        <v>#REF!</v>
      </c>
      <c r="T46" s="58" t="e">
        <f>IF(AND('Mapa final'!#REF!="Muy Baja",'Mapa final'!#REF!="Menor"),CONCATENATE("R1C",'Mapa final'!#REF!),"")</f>
        <v>#REF!</v>
      </c>
      <c r="U46" s="59" t="e">
        <f>IF(AND('Mapa final'!#REF!="Muy Baja",'Mapa final'!#REF!="Menor"),CONCATENATE("R1C",'Mapa final'!#REF!),"")</f>
        <v>#REF!</v>
      </c>
      <c r="V46" s="48" t="str">
        <f>IF(AND('Mapa final'!$AB$10="Muy Baja",'Mapa final'!$AD$10="Moderado"),CONCATENATE("R1C",'Mapa final'!$R$10),"")</f>
        <v/>
      </c>
      <c r="W46" s="66" t="str">
        <f>IF(AND('Mapa final'!$AB$11="Muy Baja",'Mapa final'!$AD$11="Moderado"),CONCATENATE("R1C",'Mapa final'!$R$11),"")</f>
        <v/>
      </c>
      <c r="X46" s="49" t="e">
        <f>IF(AND('Mapa final'!#REF!="Muy Baja",'Mapa final'!#REF!="Moderado"),CONCATENATE("R1C",'Mapa final'!#REF!),"")</f>
        <v>#REF!</v>
      </c>
      <c r="Y46" s="49" t="e">
        <f>IF(AND('Mapa final'!#REF!="Muy Baja",'Mapa final'!#REF!="Moderado"),CONCATENATE("R1C",'Mapa final'!#REF!),"")</f>
        <v>#REF!</v>
      </c>
      <c r="Z46" s="49" t="e">
        <f>IF(AND('Mapa final'!#REF!="Muy Baja",'Mapa final'!#REF!="Moderado"),CONCATENATE("R1C",'Mapa final'!#REF!),"")</f>
        <v>#REF!</v>
      </c>
      <c r="AA46" s="50" t="e">
        <f>IF(AND('Mapa final'!#REF!="Muy Baja",'Mapa final'!#REF!="Moderado"),CONCATENATE("R1C",'Mapa final'!#REF!),"")</f>
        <v>#REF!</v>
      </c>
      <c r="AB46" s="30" t="str">
        <f>IF(AND('Mapa final'!$AB$10="Muy Baja",'Mapa final'!$AD$10="Mayor"),CONCATENATE("R1C",'Mapa final'!$R$10),"")</f>
        <v/>
      </c>
      <c r="AC46" s="31" t="str">
        <f>IF(AND('Mapa final'!$AB$11="Muy Baja",'Mapa final'!$AD$11="Mayor"),CONCATENATE("R1C",'Mapa final'!$R$11),"")</f>
        <v/>
      </c>
      <c r="AD46" s="31" t="e">
        <f>IF(AND('Mapa final'!#REF!="Muy Baja",'Mapa final'!#REF!="Mayor"),CONCATENATE("R1C",'Mapa final'!#REF!),"")</f>
        <v>#REF!</v>
      </c>
      <c r="AE46" s="31" t="e">
        <f>IF(AND('Mapa final'!#REF!="Muy Baja",'Mapa final'!#REF!="Mayor"),CONCATENATE("R1C",'Mapa final'!#REF!),"")</f>
        <v>#REF!</v>
      </c>
      <c r="AF46" s="31" t="e">
        <f>IF(AND('Mapa final'!#REF!="Muy Baja",'Mapa final'!#REF!="Mayor"),CONCATENATE("R1C",'Mapa final'!#REF!),"")</f>
        <v>#REF!</v>
      </c>
      <c r="AG46" s="32" t="e">
        <f>IF(AND('Mapa final'!#REF!="Muy Baja",'Mapa final'!#REF!="Mayor"),CONCATENATE("R1C",'Mapa final'!#REF!),"")</f>
        <v>#REF!</v>
      </c>
      <c r="AH46" s="33" t="str">
        <f>IF(AND('Mapa final'!$AB$10="Muy Baja",'Mapa final'!$AD$10="Catastrófico"),CONCATENATE("R1C",'Mapa final'!$R$10),"")</f>
        <v/>
      </c>
      <c r="AI46" s="34" t="str">
        <f>IF(AND('Mapa final'!$AB$11="Muy Baja",'Mapa final'!$AD$11="Catastrófico"),CONCATENATE("R1C",'Mapa final'!$R$11),"")</f>
        <v/>
      </c>
      <c r="AJ46" s="34" t="e">
        <f>IF(AND('Mapa final'!#REF!="Muy Baja",'Mapa final'!#REF!="Catastrófico"),CONCATENATE("R1C",'Mapa final'!#REF!),"")</f>
        <v>#REF!</v>
      </c>
      <c r="AK46" s="34" t="e">
        <f>IF(AND('Mapa final'!#REF!="Muy Baja",'Mapa final'!#REF!="Catastrófico"),CONCATENATE("R1C",'Mapa final'!#REF!),"")</f>
        <v>#REF!</v>
      </c>
      <c r="AL46" s="34" t="e">
        <f>IF(AND('Mapa final'!#REF!="Muy Baja",'Mapa final'!#REF!="Catastrófico"),CONCATENATE("R1C",'Mapa final'!#REF!),"")</f>
        <v>#REF!</v>
      </c>
      <c r="AM46" s="35" t="e">
        <f>IF(AND('Mapa final'!#REF!="Muy Baja",'Mapa final'!#REF!="Catastrófico"),CONCATENATE("R1C",'Mapa final'!#REF!),"")</f>
        <v>#REF!</v>
      </c>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ht="46.5" customHeight="1" x14ac:dyDescent="0.3">
      <c r="A47" s="67"/>
      <c r="B47" s="532"/>
      <c r="C47" s="532"/>
      <c r="D47" s="533"/>
      <c r="E47" s="589"/>
      <c r="F47" s="574"/>
      <c r="G47" s="574"/>
      <c r="H47" s="574"/>
      <c r="I47" s="575"/>
      <c r="J47" s="60" t="str">
        <f>IF(AND('Mapa final'!$AB$12="Muy Baja",'Mapa final'!$AD$12="Leve"),CONCATENATE("R2C",'Mapa final'!$R$12),"")</f>
        <v/>
      </c>
      <c r="K47" s="61" t="str">
        <f>IF(AND('Mapa final'!$AB$13="Muy Baja",'Mapa final'!$AD$13="Leve"),CONCATENATE("R2C",'Mapa final'!$R$13),"")</f>
        <v/>
      </c>
      <c r="L47" s="61" t="e">
        <f>IF(AND('Mapa final'!#REF!="Muy Baja",'Mapa final'!#REF!="Leve"),CONCATENATE("R2C",'Mapa final'!#REF!),"")</f>
        <v>#REF!</v>
      </c>
      <c r="M47" s="61" t="e">
        <f>IF(AND('Mapa final'!#REF!="Muy Baja",'Mapa final'!#REF!="Leve"),CONCATENATE("R2C",'Mapa final'!#REF!),"")</f>
        <v>#REF!</v>
      </c>
      <c r="N47" s="61" t="e">
        <f>IF(AND('Mapa final'!#REF!="Muy Baja",'Mapa final'!#REF!="Leve"),CONCATENATE("R2C",'Mapa final'!#REF!),"")</f>
        <v>#REF!</v>
      </c>
      <c r="O47" s="62" t="e">
        <f>IF(AND('Mapa final'!#REF!="Muy Baja",'Mapa final'!#REF!="Leve"),CONCATENATE("R2C",'Mapa final'!#REF!),"")</f>
        <v>#REF!</v>
      </c>
      <c r="P47" s="60" t="str">
        <f>IF(AND('Mapa final'!$AB$12="Muy Baja",'Mapa final'!$AD$12="Menor"),CONCATENATE("R2C",'Mapa final'!$R$12),"")</f>
        <v/>
      </c>
      <c r="Q47" s="61" t="str">
        <f>IF(AND('Mapa final'!$AB$13="Muy Baja",'Mapa final'!$AD$13="Menor"),CONCATENATE("R2C",'Mapa final'!$R$13),"")</f>
        <v/>
      </c>
      <c r="R47" s="61" t="e">
        <f>IF(AND('Mapa final'!#REF!="Muy Baja",'Mapa final'!#REF!="Menor"),CONCATENATE("R2C",'Mapa final'!#REF!),"")</f>
        <v>#REF!</v>
      </c>
      <c r="S47" s="61" t="e">
        <f>IF(AND('Mapa final'!#REF!="Muy Baja",'Mapa final'!#REF!="Menor"),CONCATENATE("R2C",'Mapa final'!#REF!),"")</f>
        <v>#REF!</v>
      </c>
      <c r="T47" s="61" t="e">
        <f>IF(AND('Mapa final'!#REF!="Muy Baja",'Mapa final'!#REF!="Menor"),CONCATENATE("R2C",'Mapa final'!#REF!),"")</f>
        <v>#REF!</v>
      </c>
      <c r="U47" s="62" t="e">
        <f>IF(AND('Mapa final'!#REF!="Muy Baja",'Mapa final'!#REF!="Menor"),CONCATENATE("R2C",'Mapa final'!#REF!),"")</f>
        <v>#REF!</v>
      </c>
      <c r="V47" s="51" t="str">
        <f>IF(AND('Mapa final'!$AB$12="Muy Baja",'Mapa final'!$AD$12="Moderado"),CONCATENATE("R2C",'Mapa final'!$R$12),"")</f>
        <v/>
      </c>
      <c r="W47" s="52" t="str">
        <f>IF(AND('Mapa final'!$AB$13="Muy Baja",'Mapa final'!$AD$13="Moderado"),CONCATENATE("R2C",'Mapa final'!$R$13),"")</f>
        <v/>
      </c>
      <c r="X47" s="52" t="e">
        <f>IF(AND('Mapa final'!#REF!="Muy Baja",'Mapa final'!#REF!="Moderado"),CONCATENATE("R2C",'Mapa final'!#REF!),"")</f>
        <v>#REF!</v>
      </c>
      <c r="Y47" s="52" t="e">
        <f>IF(AND('Mapa final'!#REF!="Muy Baja",'Mapa final'!#REF!="Moderado"),CONCATENATE("R2C",'Mapa final'!#REF!),"")</f>
        <v>#REF!</v>
      </c>
      <c r="Z47" s="52" t="e">
        <f>IF(AND('Mapa final'!#REF!="Muy Baja",'Mapa final'!#REF!="Moderado"),CONCATENATE("R2C",'Mapa final'!#REF!),"")</f>
        <v>#REF!</v>
      </c>
      <c r="AA47" s="53" t="e">
        <f>IF(AND('Mapa final'!#REF!="Muy Baja",'Mapa final'!#REF!="Moderado"),CONCATENATE("R2C",'Mapa final'!#REF!),"")</f>
        <v>#REF!</v>
      </c>
      <c r="AB47" s="36" t="str">
        <f>IF(AND('Mapa final'!$AB$12="Muy Baja",'Mapa final'!$AD$12="Mayor"),CONCATENATE("R2C",'Mapa final'!$R$12),"")</f>
        <v/>
      </c>
      <c r="AC47" s="37" t="str">
        <f>IF(AND('Mapa final'!$AB$13="Muy Baja",'Mapa final'!$AD$13="Mayor"),CONCATENATE("R2C",'Mapa final'!$R$13),"")</f>
        <v/>
      </c>
      <c r="AD47" s="37" t="e">
        <f>IF(AND('Mapa final'!#REF!="Muy Baja",'Mapa final'!#REF!="Mayor"),CONCATENATE("R2C",'Mapa final'!#REF!),"")</f>
        <v>#REF!</v>
      </c>
      <c r="AE47" s="37" t="e">
        <f>IF(AND('Mapa final'!#REF!="Muy Baja",'Mapa final'!#REF!="Mayor"),CONCATENATE("R2C",'Mapa final'!#REF!),"")</f>
        <v>#REF!</v>
      </c>
      <c r="AF47" s="37" t="e">
        <f>IF(AND('Mapa final'!#REF!="Muy Baja",'Mapa final'!#REF!="Mayor"),CONCATENATE("R2C",'Mapa final'!#REF!),"")</f>
        <v>#REF!</v>
      </c>
      <c r="AG47" s="38" t="e">
        <f>IF(AND('Mapa final'!#REF!="Muy Baja",'Mapa final'!#REF!="Mayor"),CONCATENATE("R2C",'Mapa final'!#REF!),"")</f>
        <v>#REF!</v>
      </c>
      <c r="AH47" s="39" t="str">
        <f>IF(AND('Mapa final'!$AB$12="Muy Baja",'Mapa final'!$AD$12="Catastrófico"),CONCATENATE("R2C",'Mapa final'!$R$12),"")</f>
        <v/>
      </c>
      <c r="AI47" s="40" t="str">
        <f>IF(AND('Mapa final'!$AB$13="Muy Baja",'Mapa final'!$AD$13="Catastrófico"),CONCATENATE("R2C",'Mapa final'!$R$13),"")</f>
        <v/>
      </c>
      <c r="AJ47" s="40" t="e">
        <f>IF(AND('Mapa final'!#REF!="Muy Baja",'Mapa final'!#REF!="Catastrófico"),CONCATENATE("R2C",'Mapa final'!#REF!),"")</f>
        <v>#REF!</v>
      </c>
      <c r="AK47" s="40" t="e">
        <f>IF(AND('Mapa final'!#REF!="Muy Baja",'Mapa final'!#REF!="Catastrófico"),CONCATENATE("R2C",'Mapa final'!#REF!),"")</f>
        <v>#REF!</v>
      </c>
      <c r="AL47" s="40" t="e">
        <f>IF(AND('Mapa final'!#REF!="Muy Baja",'Mapa final'!#REF!="Catastrófico"),CONCATENATE("R2C",'Mapa final'!#REF!),"")</f>
        <v>#REF!</v>
      </c>
      <c r="AM47" s="41" t="e">
        <f>IF(AND('Mapa final'!#REF!="Muy Baja",'Mapa final'!#REF!="Catastrófico"),CONCATENATE("R2C",'Mapa final'!#REF!),"")</f>
        <v>#REF!</v>
      </c>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ht="15" customHeight="1" x14ac:dyDescent="0.3">
      <c r="A48" s="67"/>
      <c r="B48" s="532"/>
      <c r="C48" s="532"/>
      <c r="D48" s="533"/>
      <c r="E48" s="589"/>
      <c r="F48" s="574"/>
      <c r="G48" s="574"/>
      <c r="H48" s="574"/>
      <c r="I48" s="575"/>
      <c r="J48" s="60" t="str">
        <f>IF(AND('Mapa final'!$AB$14="Muy Baja",'Mapa final'!$AD$14="Leve"),CONCATENATE("R3C",'Mapa final'!$R$14),"")</f>
        <v/>
      </c>
      <c r="K48" s="61" t="str">
        <f>IF(AND('Mapa final'!$AB$15="Muy Baja",'Mapa final'!$AD$15="Leve"),CONCATENATE("R3C",'Mapa final'!$R$15),"")</f>
        <v/>
      </c>
      <c r="L48" s="61" t="e">
        <f>IF(AND('Mapa final'!#REF!="Muy Baja",'Mapa final'!#REF!="Leve"),CONCATENATE("R3C",'Mapa final'!#REF!),"")</f>
        <v>#REF!</v>
      </c>
      <c r="M48" s="61" t="e">
        <f>IF(AND('Mapa final'!#REF!="Muy Baja",'Mapa final'!#REF!="Leve"),CONCATENATE("R3C",'Mapa final'!#REF!),"")</f>
        <v>#REF!</v>
      </c>
      <c r="N48" s="61" t="e">
        <f>IF(AND('Mapa final'!#REF!="Muy Baja",'Mapa final'!#REF!="Leve"),CONCATENATE("R3C",'Mapa final'!#REF!),"")</f>
        <v>#REF!</v>
      </c>
      <c r="O48" s="62" t="e">
        <f>IF(AND('Mapa final'!#REF!="Muy Baja",'Mapa final'!#REF!="Leve"),CONCATENATE("R3C",'Mapa final'!#REF!),"")</f>
        <v>#REF!</v>
      </c>
      <c r="P48" s="60" t="str">
        <f>IF(AND('Mapa final'!$AB$14="Muy Baja",'Mapa final'!$AD$14="Menor"),CONCATENATE("R3C",'Mapa final'!$R$14),"")</f>
        <v/>
      </c>
      <c r="Q48" s="61" t="str">
        <f>IF(AND('Mapa final'!$AB$15="Muy Baja",'Mapa final'!$AD$15="Menor"),CONCATENATE("R3C",'Mapa final'!$R$15),"")</f>
        <v/>
      </c>
      <c r="R48" s="61" t="e">
        <f>IF(AND('Mapa final'!#REF!="Muy Baja",'Mapa final'!#REF!="Menor"),CONCATENATE("R3C",'Mapa final'!#REF!),"")</f>
        <v>#REF!</v>
      </c>
      <c r="S48" s="61" t="e">
        <f>IF(AND('Mapa final'!#REF!="Muy Baja",'Mapa final'!#REF!="Menor"),CONCATENATE("R3C",'Mapa final'!#REF!),"")</f>
        <v>#REF!</v>
      </c>
      <c r="T48" s="61" t="e">
        <f>IF(AND('Mapa final'!#REF!="Muy Baja",'Mapa final'!#REF!="Menor"),CONCATENATE("R3C",'Mapa final'!#REF!),"")</f>
        <v>#REF!</v>
      </c>
      <c r="U48" s="62" t="e">
        <f>IF(AND('Mapa final'!#REF!="Muy Baja",'Mapa final'!#REF!="Menor"),CONCATENATE("R3C",'Mapa final'!#REF!),"")</f>
        <v>#REF!</v>
      </c>
      <c r="V48" s="51" t="str">
        <f>IF(AND('Mapa final'!$AB$14="Muy Baja",'Mapa final'!$AD$14="Moderado"),CONCATENATE("R3C",'Mapa final'!$R$14),"")</f>
        <v/>
      </c>
      <c r="W48" s="52" t="str">
        <f>IF(AND('Mapa final'!$AB$15="Muy Baja",'Mapa final'!$AD$15="Moderado"),CONCATENATE("R3C",'Mapa final'!$R$15),"")</f>
        <v/>
      </c>
      <c r="X48" s="52" t="e">
        <f>IF(AND('Mapa final'!#REF!="Muy Baja",'Mapa final'!#REF!="Moderado"),CONCATENATE("R3C",'Mapa final'!#REF!),"")</f>
        <v>#REF!</v>
      </c>
      <c r="Y48" s="52" t="e">
        <f>IF(AND('Mapa final'!#REF!="Muy Baja",'Mapa final'!#REF!="Moderado"),CONCATENATE("R3C",'Mapa final'!#REF!),"")</f>
        <v>#REF!</v>
      </c>
      <c r="Z48" s="52" t="e">
        <f>IF(AND('Mapa final'!#REF!="Muy Baja",'Mapa final'!#REF!="Moderado"),CONCATENATE("R3C",'Mapa final'!#REF!),"")</f>
        <v>#REF!</v>
      </c>
      <c r="AA48" s="53" t="e">
        <f>IF(AND('Mapa final'!#REF!="Muy Baja",'Mapa final'!#REF!="Moderado"),CONCATENATE("R3C",'Mapa final'!#REF!),"")</f>
        <v>#REF!</v>
      </c>
      <c r="AB48" s="36" t="str">
        <f>IF(AND('Mapa final'!$AB$14="Muy Baja",'Mapa final'!$AD$14="Mayor"),CONCATENATE("R3C",'Mapa final'!$R$14),"")</f>
        <v/>
      </c>
      <c r="AC48" s="37" t="str">
        <f>IF(AND('Mapa final'!$AB$15="Muy Baja",'Mapa final'!$AD$15="Mayor"),CONCATENATE("R3C",'Mapa final'!$R$15),"")</f>
        <v/>
      </c>
      <c r="AD48" s="37" t="e">
        <f>IF(AND('Mapa final'!#REF!="Muy Baja",'Mapa final'!#REF!="Mayor"),CONCATENATE("R3C",'Mapa final'!#REF!),"")</f>
        <v>#REF!</v>
      </c>
      <c r="AE48" s="37" t="e">
        <f>IF(AND('Mapa final'!#REF!="Muy Baja",'Mapa final'!#REF!="Mayor"),CONCATENATE("R3C",'Mapa final'!#REF!),"")</f>
        <v>#REF!</v>
      </c>
      <c r="AF48" s="37" t="e">
        <f>IF(AND('Mapa final'!#REF!="Muy Baja",'Mapa final'!#REF!="Mayor"),CONCATENATE("R3C",'Mapa final'!#REF!),"")</f>
        <v>#REF!</v>
      </c>
      <c r="AG48" s="38" t="e">
        <f>IF(AND('Mapa final'!#REF!="Muy Baja",'Mapa final'!#REF!="Mayor"),CONCATENATE("R3C",'Mapa final'!#REF!),"")</f>
        <v>#REF!</v>
      </c>
      <c r="AH48" s="39" t="str">
        <f>IF(AND('Mapa final'!$AB$14="Muy Baja",'Mapa final'!$AD$14="Catastrófico"),CONCATENATE("R3C",'Mapa final'!$R$14),"")</f>
        <v/>
      </c>
      <c r="AI48" s="40" t="str">
        <f>IF(AND('Mapa final'!$AB$15="Muy Baja",'Mapa final'!$AD$15="Catastrófico"),CONCATENATE("R3C",'Mapa final'!$R$15),"")</f>
        <v/>
      </c>
      <c r="AJ48" s="40" t="e">
        <f>IF(AND('Mapa final'!#REF!="Muy Baja",'Mapa final'!#REF!="Catastrófico"),CONCATENATE("R3C",'Mapa final'!#REF!),"")</f>
        <v>#REF!</v>
      </c>
      <c r="AK48" s="40" t="e">
        <f>IF(AND('Mapa final'!#REF!="Muy Baja",'Mapa final'!#REF!="Catastrófico"),CONCATENATE("R3C",'Mapa final'!#REF!),"")</f>
        <v>#REF!</v>
      </c>
      <c r="AL48" s="40" t="e">
        <f>IF(AND('Mapa final'!#REF!="Muy Baja",'Mapa final'!#REF!="Catastrófico"),CONCATENATE("R3C",'Mapa final'!#REF!),"")</f>
        <v>#REF!</v>
      </c>
      <c r="AM48" s="41" t="e">
        <f>IF(AND('Mapa final'!#REF!="Muy Baja",'Mapa final'!#REF!="Catastrófico"),CONCATENATE("R3C",'Mapa final'!#REF!),"")</f>
        <v>#REF!</v>
      </c>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ht="15" customHeight="1" x14ac:dyDescent="0.3">
      <c r="A49" s="67"/>
      <c r="B49" s="532"/>
      <c r="C49" s="532"/>
      <c r="D49" s="533"/>
      <c r="E49" s="573"/>
      <c r="F49" s="574"/>
      <c r="G49" s="574"/>
      <c r="H49" s="574"/>
      <c r="I49" s="575"/>
      <c r="J49" s="60" t="str">
        <f>IF(AND('Mapa final'!$AB$16="Muy Baja",'Mapa final'!$AD$16="Leve"),CONCATENATE("R4C",'Mapa final'!$R$16),"")</f>
        <v/>
      </c>
      <c r="K49" s="61" t="str">
        <f>IF(AND('Mapa final'!$AB$17="Muy Baja",'Mapa final'!$AD$17="Leve"),CONCATENATE("R4C",'Mapa final'!$R$17),"")</f>
        <v/>
      </c>
      <c r="L49" s="61" t="str">
        <f>IF(AND('Mapa final'!$AB$18="Muy Baja",'Mapa final'!$AD$18="Leve"),CONCATENATE("R4C",'Mapa final'!$R$18),"")</f>
        <v/>
      </c>
      <c r="M49" s="61" t="str">
        <f>IF(AND('Mapa final'!$AB$19="Muy Baja",'Mapa final'!$AD$19="Leve"),CONCATENATE("R4C",'Mapa final'!$R$19),"")</f>
        <v/>
      </c>
      <c r="N49" s="61" t="str">
        <f>IF(AND('Mapa final'!$AB$20="Muy Baja",'Mapa final'!$AD$20="Leve"),CONCATENATE("R4C",'Mapa final'!$R$20),"")</f>
        <v/>
      </c>
      <c r="O49" s="62" t="str">
        <f>IF(AND('Mapa final'!$AB$21="Muy Baja",'Mapa final'!$AD$21="Leve"),CONCATENATE("R4C",'Mapa final'!$R$21),"")</f>
        <v/>
      </c>
      <c r="P49" s="60" t="str">
        <f>IF(AND('Mapa final'!$AB$16="Muy Baja",'Mapa final'!$AD$16="Menor"),CONCATENATE("R4C",'Mapa final'!$R$16),"")</f>
        <v/>
      </c>
      <c r="Q49" s="61" t="str">
        <f>IF(AND('Mapa final'!$AB$17="Muy Baja",'Mapa final'!$AD$17="Menor"),CONCATENATE("R4C",'Mapa final'!$R$17),"")</f>
        <v/>
      </c>
      <c r="R49" s="61" t="str">
        <f>IF(AND('Mapa final'!$AB$18="Muy Baja",'Mapa final'!$AD$18="Menor"),CONCATENATE("R4C",'Mapa final'!$R$18),"")</f>
        <v/>
      </c>
      <c r="S49" s="61" t="str">
        <f>IF(AND('Mapa final'!$AB$19="Muy Baja",'Mapa final'!$AD$19="Menor"),CONCATENATE("R4C",'Mapa final'!$R$19),"")</f>
        <v/>
      </c>
      <c r="T49" s="61" t="str">
        <f>IF(AND('Mapa final'!$AB$20="Muy Baja",'Mapa final'!$AD$20="Menor"),CONCATENATE("R4C",'Mapa final'!$R$20),"")</f>
        <v/>
      </c>
      <c r="U49" s="62" t="str">
        <f>IF(AND('Mapa final'!$AB$21="Muy Baja",'Mapa final'!$AD$21="Menor"),CONCATENATE("R4C",'Mapa final'!$R$21),"")</f>
        <v/>
      </c>
      <c r="V49" s="51" t="str">
        <f>IF(AND('Mapa final'!$AB$16="Muy Baja",'Mapa final'!$AD$16="Moderado"),CONCATENATE("R4C",'Mapa final'!$R$16),"")</f>
        <v/>
      </c>
      <c r="W49" s="52" t="str">
        <f>IF(AND('Mapa final'!$AB$17="Muy Baja",'Mapa final'!$AD$17="Moderado"),CONCATENATE("R4C",'Mapa final'!$R$17),"")</f>
        <v/>
      </c>
      <c r="X49" s="52" t="str">
        <f>IF(AND('Mapa final'!$AB$18="Muy Baja",'Mapa final'!$AD$18="Moderado"),CONCATENATE("R4C",'Mapa final'!$R$18),"")</f>
        <v/>
      </c>
      <c r="Y49" s="52" t="str">
        <f>IF(AND('Mapa final'!$AB$19="Muy Baja",'Mapa final'!$AD$19="Moderado"),CONCATENATE("R4C",'Mapa final'!$R$19),"")</f>
        <v/>
      </c>
      <c r="Z49" s="52" t="str">
        <f>IF(AND('Mapa final'!$AB$20="Muy Baja",'Mapa final'!$AD$20="Moderado"),CONCATENATE("R4C",'Mapa final'!$R$20),"")</f>
        <v/>
      </c>
      <c r="AA49" s="53" t="str">
        <f>IF(AND('Mapa final'!$AB$21="Muy Baja",'Mapa final'!$AD$21="Moderado"),CONCATENATE("R4C",'Mapa final'!$R$21),"")</f>
        <v/>
      </c>
      <c r="AB49" s="36" t="str">
        <f>IF(AND('Mapa final'!$AB$16="Muy Baja",'Mapa final'!$AD$16="Mayor"),CONCATENATE("R4C",'Mapa final'!$R$16),"")</f>
        <v/>
      </c>
      <c r="AC49" s="37" t="str">
        <f>IF(AND('Mapa final'!$AB$17="Muy Baja",'Mapa final'!$AD$17="Mayor"),CONCATENATE("R4C",'Mapa final'!$R$17),"")</f>
        <v/>
      </c>
      <c r="AD49" s="37" t="str">
        <f>IF(AND('Mapa final'!$AB$18="Muy Baja",'Mapa final'!$AD$18="Mayor"),CONCATENATE("R4C",'Mapa final'!$R$18),"")</f>
        <v/>
      </c>
      <c r="AE49" s="37" t="str">
        <f>IF(AND('Mapa final'!$AB$19="Muy Baja",'Mapa final'!$AD$19="Mayor"),CONCATENATE("R4C",'Mapa final'!$R$19),"")</f>
        <v/>
      </c>
      <c r="AF49" s="37" t="str">
        <f>IF(AND('Mapa final'!$AB$20="Muy Baja",'Mapa final'!$AD$20="Mayor"),CONCATENATE("R4C",'Mapa final'!$R$20),"")</f>
        <v/>
      </c>
      <c r="AG49" s="38" t="str">
        <f>IF(AND('Mapa final'!$AB$21="Muy Baja",'Mapa final'!$AD$21="Mayor"),CONCATENATE("R4C",'Mapa final'!$R$21),"")</f>
        <v/>
      </c>
      <c r="AH49" s="39" t="str">
        <f>IF(AND('Mapa final'!$AB$16="Muy Baja",'Mapa final'!$AD$16="Catastrófico"),CONCATENATE("R4C",'Mapa final'!$R$16),"")</f>
        <v/>
      </c>
      <c r="AI49" s="40" t="str">
        <f>IF(AND('Mapa final'!$AB$17="Muy Baja",'Mapa final'!$AD$17="Catastrófico"),CONCATENATE("R4C",'Mapa final'!$R$17),"")</f>
        <v/>
      </c>
      <c r="AJ49" s="40" t="str">
        <f>IF(AND('Mapa final'!$AB$18="Muy Baja",'Mapa final'!$AD$18="Catastrófico"),CONCATENATE("R4C",'Mapa final'!$R$18),"")</f>
        <v/>
      </c>
      <c r="AK49" s="40" t="str">
        <f>IF(AND('Mapa final'!$AB$19="Muy Baja",'Mapa final'!$AD$19="Catastrófico"),CONCATENATE("R4C",'Mapa final'!$R$19),"")</f>
        <v/>
      </c>
      <c r="AL49" s="40" t="str">
        <f>IF(AND('Mapa final'!$AB$20="Muy Baja",'Mapa final'!$AD$20="Catastrófico"),CONCATENATE("R4C",'Mapa final'!$R$20),"")</f>
        <v/>
      </c>
      <c r="AM49" s="41" t="str">
        <f>IF(AND('Mapa final'!$AB$21="Muy Baja",'Mapa final'!$AD$21="Catastrófico"),CONCATENATE("R4C",'Mapa final'!$R$21),"")</f>
        <v/>
      </c>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ht="15" customHeight="1" x14ac:dyDescent="0.3">
      <c r="A50" s="67"/>
      <c r="B50" s="532"/>
      <c r="C50" s="532"/>
      <c r="D50" s="533"/>
      <c r="E50" s="573"/>
      <c r="F50" s="574"/>
      <c r="G50" s="574"/>
      <c r="H50" s="574"/>
      <c r="I50" s="575"/>
      <c r="J50" s="60" t="str">
        <f>IF(AND('Mapa final'!$AB$22="Muy Baja",'Mapa final'!$AD$22="Leve"),CONCATENATE("R5C",'Mapa final'!$R$22),"")</f>
        <v/>
      </c>
      <c r="K50" s="61" t="str">
        <f>IF(AND('Mapa final'!$AB$23="Muy Baja",'Mapa final'!$AD$23="Leve"),CONCATENATE("R5C",'Mapa final'!$R$23),"")</f>
        <v/>
      </c>
      <c r="L50" s="61" t="str">
        <f>IF(AND('Mapa final'!$AB$24="Muy Baja",'Mapa final'!$AD$24="Leve"),CONCATENATE("R5C",'Mapa final'!$R$24),"")</f>
        <v/>
      </c>
      <c r="M50" s="61" t="str">
        <f>IF(AND('Mapa final'!$AB$25="Muy Baja",'Mapa final'!$AD$25="Leve"),CONCATENATE("R5C",'Mapa final'!$R$25),"")</f>
        <v/>
      </c>
      <c r="N50" s="61" t="str">
        <f>IF(AND('Mapa final'!$AB$26="Muy Baja",'Mapa final'!$AD$26="Leve"),CONCATENATE("R5C",'Mapa final'!$R$26),"")</f>
        <v/>
      </c>
      <c r="O50" s="62" t="str">
        <f>IF(AND('Mapa final'!$AB$27="Muy Baja",'Mapa final'!$AD$27="Leve"),CONCATENATE("R5C",'Mapa final'!$R$27),"")</f>
        <v/>
      </c>
      <c r="P50" s="60" t="str">
        <f>IF(AND('Mapa final'!$AB$22="Muy Baja",'Mapa final'!$AD$22="Menor"),CONCATENATE("R5C",'Mapa final'!$R$22),"")</f>
        <v/>
      </c>
      <c r="Q50" s="61" t="str">
        <f>IF(AND('Mapa final'!$AB$23="Muy Baja",'Mapa final'!$AD$23="Menor"),CONCATENATE("R5C",'Mapa final'!$R$23),"")</f>
        <v/>
      </c>
      <c r="R50" s="61" t="str">
        <f>IF(AND('Mapa final'!$AB$24="Muy Baja",'Mapa final'!$AD$24="Menor"),CONCATENATE("R5C",'Mapa final'!$R$24),"")</f>
        <v/>
      </c>
      <c r="S50" s="61" t="str">
        <f>IF(AND('Mapa final'!$AB$25="Muy Baja",'Mapa final'!$AD$25="Menor"),CONCATENATE("R5C",'Mapa final'!$R$25),"")</f>
        <v/>
      </c>
      <c r="T50" s="61" t="str">
        <f>IF(AND('Mapa final'!$AB$26="Muy Baja",'Mapa final'!$AD$26="Menor"),CONCATENATE("R5C",'Mapa final'!$R$26),"")</f>
        <v/>
      </c>
      <c r="U50" s="62" t="str">
        <f>IF(AND('Mapa final'!$AB$27="Muy Baja",'Mapa final'!$AD$27="Menor"),CONCATENATE("R5C",'Mapa final'!$R$27),"")</f>
        <v/>
      </c>
      <c r="V50" s="51" t="str">
        <f>IF(AND('Mapa final'!$AB$22="Muy Baja",'Mapa final'!$AD$22="Moderado"),CONCATENATE("R5C",'Mapa final'!$R$22),"")</f>
        <v/>
      </c>
      <c r="W50" s="52" t="str">
        <f>IF(AND('Mapa final'!$AB$23="Muy Baja",'Mapa final'!$AD$23="Moderado"),CONCATENATE("R5C",'Mapa final'!$R$23),"")</f>
        <v/>
      </c>
      <c r="X50" s="52" t="str">
        <f>IF(AND('Mapa final'!$AB$24="Muy Baja",'Mapa final'!$AD$24="Moderado"),CONCATENATE("R5C",'Mapa final'!$R$24),"")</f>
        <v/>
      </c>
      <c r="Y50" s="52" t="str">
        <f>IF(AND('Mapa final'!$AB$25="Muy Baja",'Mapa final'!$AD$25="Moderado"),CONCATENATE("R5C",'Mapa final'!$R$25),"")</f>
        <v/>
      </c>
      <c r="Z50" s="52" t="str">
        <f>IF(AND('Mapa final'!$AB$26="Muy Baja",'Mapa final'!$AD$26="Moderado"),CONCATENATE("R5C",'Mapa final'!$R$26),"")</f>
        <v/>
      </c>
      <c r="AA50" s="53" t="str">
        <f>IF(AND('Mapa final'!$AB$27="Muy Baja",'Mapa final'!$AD$27="Moderado"),CONCATENATE("R5C",'Mapa final'!$R$27),"")</f>
        <v/>
      </c>
      <c r="AB50" s="36" t="str">
        <f>IF(AND('Mapa final'!$AB$22="Muy Baja",'Mapa final'!$AD$22="Mayor"),CONCATENATE("R5C",'Mapa final'!$R$22),"")</f>
        <v/>
      </c>
      <c r="AC50" s="37" t="str">
        <f>IF(AND('Mapa final'!$AB$23="Muy Baja",'Mapa final'!$AD$23="Mayor"),CONCATENATE("R5C",'Mapa final'!$R$23),"")</f>
        <v/>
      </c>
      <c r="AD50" s="37" t="str">
        <f>IF(AND('Mapa final'!$AB$24="Muy Baja",'Mapa final'!$AD$24="Mayor"),CONCATENATE("R5C",'Mapa final'!$R$24),"")</f>
        <v/>
      </c>
      <c r="AE50" s="37" t="str">
        <f>IF(AND('Mapa final'!$AB$25="Muy Baja",'Mapa final'!$AD$25="Mayor"),CONCATENATE("R5C",'Mapa final'!$R$25),"")</f>
        <v/>
      </c>
      <c r="AF50" s="37" t="str">
        <f>IF(AND('Mapa final'!$AB$26="Muy Baja",'Mapa final'!$AD$26="Mayor"),CONCATENATE("R5C",'Mapa final'!$R$26),"")</f>
        <v/>
      </c>
      <c r="AG50" s="38" t="str">
        <f>IF(AND('Mapa final'!$AB$27="Muy Baja",'Mapa final'!$AD$27="Mayor"),CONCATENATE("R5C",'Mapa final'!$R$27),"")</f>
        <v/>
      </c>
      <c r="AH50" s="39" t="str">
        <f>IF(AND('Mapa final'!$AB$22="Muy Baja",'Mapa final'!$AD$22="Catastrófico"),CONCATENATE("R5C",'Mapa final'!$R$22),"")</f>
        <v/>
      </c>
      <c r="AI50" s="40" t="str">
        <f>IF(AND('Mapa final'!$AB$23="Muy Baja",'Mapa final'!$AD$23="Catastrófico"),CONCATENATE("R5C",'Mapa final'!$R$23),"")</f>
        <v/>
      </c>
      <c r="AJ50" s="40" t="str">
        <f>IF(AND('Mapa final'!$AB$24="Muy Baja",'Mapa final'!$AD$24="Catastrófico"),CONCATENATE("R5C",'Mapa final'!$R$24),"")</f>
        <v/>
      </c>
      <c r="AK50" s="40" t="str">
        <f>IF(AND('Mapa final'!$AB$25="Muy Baja",'Mapa final'!$AD$25="Catastrófico"),CONCATENATE("R5C",'Mapa final'!$R$25),"")</f>
        <v/>
      </c>
      <c r="AL50" s="40" t="str">
        <f>IF(AND('Mapa final'!$AB$26="Muy Baja",'Mapa final'!$AD$26="Catastrófico"),CONCATENATE("R5C",'Mapa final'!$R$26),"")</f>
        <v/>
      </c>
      <c r="AM50" s="41" t="str">
        <f>IF(AND('Mapa final'!$AB$27="Muy Baja",'Mapa final'!$AD$27="Catastrófico"),CONCATENATE("R5C",'Mapa final'!$R$27),"")</f>
        <v/>
      </c>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customHeight="1" x14ac:dyDescent="0.3">
      <c r="A51" s="67"/>
      <c r="B51" s="532"/>
      <c r="C51" s="532"/>
      <c r="D51" s="533"/>
      <c r="E51" s="573"/>
      <c r="F51" s="574"/>
      <c r="G51" s="574"/>
      <c r="H51" s="574"/>
      <c r="I51" s="575"/>
      <c r="J51" s="60" t="str">
        <f>IF(AND('Mapa final'!$AB$28="Muy Baja",'Mapa final'!$AD$28="Leve"),CONCATENATE("R6C",'Mapa final'!$R$28),"")</f>
        <v/>
      </c>
      <c r="K51" s="61" t="str">
        <f>IF(AND('Mapa final'!$AB$29="Muy Baja",'Mapa final'!$AD$29="Leve"),CONCATENATE("R6C",'Mapa final'!$R$29),"")</f>
        <v/>
      </c>
      <c r="L51" s="61" t="str">
        <f>IF(AND('Mapa final'!$AB$30="Muy Baja",'Mapa final'!$AD$30="Leve"),CONCATENATE("R6C",'Mapa final'!$R$30),"")</f>
        <v/>
      </c>
      <c r="M51" s="61" t="str">
        <f>IF(AND('Mapa final'!$AB$31="Muy Baja",'Mapa final'!$AD$31="Leve"),CONCATENATE("R6C",'Mapa final'!$R$31),"")</f>
        <v/>
      </c>
      <c r="N51" s="61" t="str">
        <f>IF(AND('Mapa final'!$AB$32="Muy Baja",'Mapa final'!$AD$32="Leve"),CONCATENATE("R6C",'Mapa final'!$R$32),"")</f>
        <v/>
      </c>
      <c r="O51" s="62" t="str">
        <f>IF(AND('Mapa final'!$AB$33="Muy Baja",'Mapa final'!$AD$33="Leve"),CONCATENATE("R6C",'Mapa final'!$R$33),"")</f>
        <v/>
      </c>
      <c r="P51" s="60" t="str">
        <f>IF(AND('Mapa final'!$AB$28="Muy Baja",'Mapa final'!$AD$28="Menor"),CONCATENATE("R6C",'Mapa final'!$R$28),"")</f>
        <v/>
      </c>
      <c r="Q51" s="61" t="str">
        <f>IF(AND('Mapa final'!$AB$29="Muy Baja",'Mapa final'!$AD$29="Menor"),CONCATENATE("R6C",'Mapa final'!$R$29),"")</f>
        <v/>
      </c>
      <c r="R51" s="61" t="str">
        <f>IF(AND('Mapa final'!$AB$30="Muy Baja",'Mapa final'!$AD$30="Menor"),CONCATENATE("R6C",'Mapa final'!$R$30),"")</f>
        <v/>
      </c>
      <c r="S51" s="61" t="str">
        <f>IF(AND('Mapa final'!$AB$31="Muy Baja",'Mapa final'!$AD$31="Menor"),CONCATENATE("R6C",'Mapa final'!$R$31),"")</f>
        <v/>
      </c>
      <c r="T51" s="61" t="str">
        <f>IF(AND('Mapa final'!$AB$32="Muy Baja",'Mapa final'!$AD$32="Menor"),CONCATENATE("R6C",'Mapa final'!$R$32),"")</f>
        <v/>
      </c>
      <c r="U51" s="62" t="str">
        <f>IF(AND('Mapa final'!$AB$33="Muy Baja",'Mapa final'!$AD$33="Menor"),CONCATENATE("R6C",'Mapa final'!$R$33),"")</f>
        <v/>
      </c>
      <c r="V51" s="51" t="str">
        <f>IF(AND('Mapa final'!$AB$28="Muy Baja",'Mapa final'!$AD$28="Moderado"),CONCATENATE("R6C",'Mapa final'!$R$28),"")</f>
        <v/>
      </c>
      <c r="W51" s="52" t="str">
        <f>IF(AND('Mapa final'!$AB$29="Muy Baja",'Mapa final'!$AD$29="Moderado"),CONCATENATE("R6C",'Mapa final'!$R$29),"")</f>
        <v/>
      </c>
      <c r="X51" s="52" t="str">
        <f>IF(AND('Mapa final'!$AB$30="Muy Baja",'Mapa final'!$AD$30="Moderado"),CONCATENATE("R6C",'Mapa final'!$R$30),"")</f>
        <v/>
      </c>
      <c r="Y51" s="52" t="str">
        <f>IF(AND('Mapa final'!$AB$31="Muy Baja",'Mapa final'!$AD$31="Moderado"),CONCATENATE("R6C",'Mapa final'!$R$31),"")</f>
        <v/>
      </c>
      <c r="Z51" s="52" t="str">
        <f>IF(AND('Mapa final'!$AB$32="Muy Baja",'Mapa final'!$AD$32="Moderado"),CONCATENATE("R6C",'Mapa final'!$R$32),"")</f>
        <v/>
      </c>
      <c r="AA51" s="53" t="str">
        <f>IF(AND('Mapa final'!$AB$33="Muy Baja",'Mapa final'!$AD$33="Moderado"),CONCATENATE("R6C",'Mapa final'!$R$33),"")</f>
        <v/>
      </c>
      <c r="AB51" s="36" t="str">
        <f>IF(AND('Mapa final'!$AB$28="Muy Baja",'Mapa final'!$AD$28="Mayor"),CONCATENATE("R6C",'Mapa final'!$R$28),"")</f>
        <v/>
      </c>
      <c r="AC51" s="37" t="str">
        <f>IF(AND('Mapa final'!$AB$29="Muy Baja",'Mapa final'!$AD$29="Mayor"),CONCATENATE("R6C",'Mapa final'!$R$29),"")</f>
        <v/>
      </c>
      <c r="AD51" s="37" t="str">
        <f>IF(AND('Mapa final'!$AB$30="Muy Baja",'Mapa final'!$AD$30="Mayor"),CONCATENATE("R6C",'Mapa final'!$R$30),"")</f>
        <v/>
      </c>
      <c r="AE51" s="37" t="str">
        <f>IF(AND('Mapa final'!$AB$31="Muy Baja",'Mapa final'!$AD$31="Mayor"),CONCATENATE("R6C",'Mapa final'!$R$31),"")</f>
        <v/>
      </c>
      <c r="AF51" s="37" t="str">
        <f>IF(AND('Mapa final'!$AB$32="Muy Baja",'Mapa final'!$AD$32="Mayor"),CONCATENATE("R6C",'Mapa final'!$R$32),"")</f>
        <v/>
      </c>
      <c r="AG51" s="38" t="str">
        <f>IF(AND('Mapa final'!$AB$33="Muy Baja",'Mapa final'!$AD$33="Mayor"),CONCATENATE("R6C",'Mapa final'!$R$33),"")</f>
        <v/>
      </c>
      <c r="AH51" s="39" t="str">
        <f>IF(AND('Mapa final'!$AB$28="Muy Baja",'Mapa final'!$AD$28="Catastrófico"),CONCATENATE("R6C",'Mapa final'!$R$28),"")</f>
        <v/>
      </c>
      <c r="AI51" s="40" t="str">
        <f>IF(AND('Mapa final'!$AB$29="Muy Baja",'Mapa final'!$AD$29="Catastrófico"),CONCATENATE("R6C",'Mapa final'!$R$29),"")</f>
        <v/>
      </c>
      <c r="AJ51" s="40" t="str">
        <f>IF(AND('Mapa final'!$AB$30="Muy Baja",'Mapa final'!$AD$30="Catastrófico"),CONCATENATE("R6C",'Mapa final'!$R$30),"")</f>
        <v/>
      </c>
      <c r="AK51" s="40" t="str">
        <f>IF(AND('Mapa final'!$AB$31="Muy Baja",'Mapa final'!$AD$31="Catastrófico"),CONCATENATE("R6C",'Mapa final'!$R$31),"")</f>
        <v/>
      </c>
      <c r="AL51" s="40" t="str">
        <f>IF(AND('Mapa final'!$AB$32="Muy Baja",'Mapa final'!$AD$32="Catastrófico"),CONCATENATE("R6C",'Mapa final'!$R$32),"")</f>
        <v/>
      </c>
      <c r="AM51" s="41" t="str">
        <f>IF(AND('Mapa final'!$AB$33="Muy Baja",'Mapa final'!$AD$33="Catastrófico"),CONCATENATE("R6C",'Mapa final'!$R$33),"")</f>
        <v/>
      </c>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ht="15" customHeight="1" x14ac:dyDescent="0.3">
      <c r="A52" s="67"/>
      <c r="B52" s="532"/>
      <c r="C52" s="532"/>
      <c r="D52" s="533"/>
      <c r="E52" s="573"/>
      <c r="F52" s="574"/>
      <c r="G52" s="574"/>
      <c r="H52" s="574"/>
      <c r="I52" s="575"/>
      <c r="J52" s="60" t="str">
        <f>IF(AND('Mapa final'!$AB$34="Muy Baja",'Mapa final'!$AD$34="Leve"),CONCATENATE("R7C",'Mapa final'!$R$34),"")</f>
        <v/>
      </c>
      <c r="K52" s="61" t="str">
        <f>IF(AND('Mapa final'!$AB$35="Muy Baja",'Mapa final'!$AD$35="Leve"),CONCATENATE("R7C",'Mapa final'!$R$35),"")</f>
        <v/>
      </c>
      <c r="L52" s="61" t="str">
        <f>IF(AND('Mapa final'!$AB$36="Muy Baja",'Mapa final'!$AD$36="Leve"),CONCATENATE("R7C",'Mapa final'!$R$36),"")</f>
        <v/>
      </c>
      <c r="M52" s="61" t="str">
        <f>IF(AND('Mapa final'!$AB$37="Muy Baja",'Mapa final'!$AD$37="Leve"),CONCATENATE("R7C",'Mapa final'!$R$37),"")</f>
        <v/>
      </c>
      <c r="N52" s="61" t="str">
        <f>IF(AND('Mapa final'!$AB$38="Muy Baja",'Mapa final'!$AD$38="Leve"),CONCATENATE("R7C",'Mapa final'!$R$38),"")</f>
        <v/>
      </c>
      <c r="O52" s="62" t="str">
        <f>IF(AND('Mapa final'!$AB$39="Muy Baja",'Mapa final'!$AD$39="Leve"),CONCATENATE("R7C",'Mapa final'!$R$39),"")</f>
        <v/>
      </c>
      <c r="P52" s="60" t="str">
        <f>IF(AND('Mapa final'!$AB$34="Muy Baja",'Mapa final'!$AD$34="Menor"),CONCATENATE("R7C",'Mapa final'!$R$34),"")</f>
        <v/>
      </c>
      <c r="Q52" s="61" t="str">
        <f>IF(AND('Mapa final'!$AB$35="Muy Baja",'Mapa final'!$AD$35="Menor"),CONCATENATE("R7C",'Mapa final'!$R$35),"")</f>
        <v/>
      </c>
      <c r="R52" s="61" t="str">
        <f>IF(AND('Mapa final'!$AB$36="Muy Baja",'Mapa final'!$AD$36="Menor"),CONCATENATE("R7C",'Mapa final'!$R$36),"")</f>
        <v/>
      </c>
      <c r="S52" s="61" t="str">
        <f>IF(AND('Mapa final'!$AB$37="Muy Baja",'Mapa final'!$AD$37="Menor"),CONCATENATE("R7C",'Mapa final'!$R$37),"")</f>
        <v/>
      </c>
      <c r="T52" s="61" t="str">
        <f>IF(AND('Mapa final'!$AB$38="Muy Baja",'Mapa final'!$AD$38="Menor"),CONCATENATE("R7C",'Mapa final'!$R$38),"")</f>
        <v/>
      </c>
      <c r="U52" s="62" t="str">
        <f>IF(AND('Mapa final'!$AB$39="Muy Baja",'Mapa final'!$AD$39="Menor"),CONCATENATE("R7C",'Mapa final'!$R$39),"")</f>
        <v/>
      </c>
      <c r="V52" s="51" t="str">
        <f>IF(AND('Mapa final'!$AB$34="Muy Baja",'Mapa final'!$AD$34="Moderado"),CONCATENATE("R7C",'Mapa final'!$R$34),"")</f>
        <v/>
      </c>
      <c r="W52" s="52" t="str">
        <f>IF(AND('Mapa final'!$AB$35="Muy Baja",'Mapa final'!$AD$35="Moderado"),CONCATENATE("R7C",'Mapa final'!$R$35),"")</f>
        <v/>
      </c>
      <c r="X52" s="52" t="str">
        <f>IF(AND('Mapa final'!$AB$36="Muy Baja",'Mapa final'!$AD$36="Moderado"),CONCATENATE("R7C",'Mapa final'!$R$36),"")</f>
        <v/>
      </c>
      <c r="Y52" s="52" t="str">
        <f>IF(AND('Mapa final'!$AB$37="Muy Baja",'Mapa final'!$AD$37="Moderado"),CONCATENATE("R7C",'Mapa final'!$R$37),"")</f>
        <v/>
      </c>
      <c r="Z52" s="52" t="str">
        <f>IF(AND('Mapa final'!$AB$38="Muy Baja",'Mapa final'!$AD$38="Moderado"),CONCATENATE("R7C",'Mapa final'!$R$38),"")</f>
        <v/>
      </c>
      <c r="AA52" s="53" t="str">
        <f>IF(AND('Mapa final'!$AB$39="Muy Baja",'Mapa final'!$AD$39="Moderado"),CONCATENATE("R7C",'Mapa final'!$R$39),"")</f>
        <v/>
      </c>
      <c r="AB52" s="36" t="str">
        <f>IF(AND('Mapa final'!$AB$34="Muy Baja",'Mapa final'!$AD$34="Mayor"),CONCATENATE("R7C",'Mapa final'!$R$34),"")</f>
        <v/>
      </c>
      <c r="AC52" s="37" t="str">
        <f>IF(AND('Mapa final'!$AB$35="Muy Baja",'Mapa final'!$AD$35="Mayor"),CONCATENATE("R7C",'Mapa final'!$R$35),"")</f>
        <v/>
      </c>
      <c r="AD52" s="37" t="str">
        <f>IF(AND('Mapa final'!$AB$36="Muy Baja",'Mapa final'!$AD$36="Mayor"),CONCATENATE("R7C",'Mapa final'!$R$36),"")</f>
        <v/>
      </c>
      <c r="AE52" s="37" t="str">
        <f>IF(AND('Mapa final'!$AB$37="Muy Baja",'Mapa final'!$AD$37="Mayor"),CONCATENATE("R7C",'Mapa final'!$R$37),"")</f>
        <v/>
      </c>
      <c r="AF52" s="37" t="str">
        <f>IF(AND('Mapa final'!$AB$38="Muy Baja",'Mapa final'!$AD$38="Mayor"),CONCATENATE("R7C",'Mapa final'!$R$38),"")</f>
        <v/>
      </c>
      <c r="AG52" s="38" t="str">
        <f>IF(AND('Mapa final'!$AB$39="Muy Baja",'Mapa final'!$AD$39="Mayor"),CONCATENATE("R7C",'Mapa final'!$R$39),"")</f>
        <v/>
      </c>
      <c r="AH52" s="39" t="str">
        <f>IF(AND('Mapa final'!$AB$34="Muy Baja",'Mapa final'!$AD$34="Catastrófico"),CONCATENATE("R7C",'Mapa final'!$R$34),"")</f>
        <v/>
      </c>
      <c r="AI52" s="40" t="str">
        <f>IF(AND('Mapa final'!$AB$35="Muy Baja",'Mapa final'!$AD$35="Catastrófico"),CONCATENATE("R7C",'Mapa final'!$R$35),"")</f>
        <v/>
      </c>
      <c r="AJ52" s="40" t="str">
        <f>IF(AND('Mapa final'!$AB$36="Muy Baja",'Mapa final'!$AD$36="Catastrófico"),CONCATENATE("R7C",'Mapa final'!$R$36),"")</f>
        <v/>
      </c>
      <c r="AK52" s="40" t="str">
        <f>IF(AND('Mapa final'!$AB$37="Muy Baja",'Mapa final'!$AD$37="Catastrófico"),CONCATENATE("R7C",'Mapa final'!$R$37),"")</f>
        <v/>
      </c>
      <c r="AL52" s="40" t="str">
        <f>IF(AND('Mapa final'!$AB$38="Muy Baja",'Mapa final'!$AD$38="Catastrófico"),CONCATENATE("R7C",'Mapa final'!$R$38),"")</f>
        <v/>
      </c>
      <c r="AM52" s="41" t="str">
        <f>IF(AND('Mapa final'!$AB$39="Muy Baja",'Mapa final'!$AD$39="Catastrófico"),CONCATENATE("R7C",'Mapa final'!$R$39),"")</f>
        <v/>
      </c>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3">
      <c r="A53" s="67"/>
      <c r="B53" s="532"/>
      <c r="C53" s="532"/>
      <c r="D53" s="533"/>
      <c r="E53" s="573"/>
      <c r="F53" s="574"/>
      <c r="G53" s="574"/>
      <c r="H53" s="574"/>
      <c r="I53" s="575"/>
      <c r="J53" s="60" t="str">
        <f>IF(AND('Mapa final'!$AB$40="Muy Baja",'Mapa final'!$AD$40="Leve"),CONCATENATE("R8C",'Mapa final'!$R$40),"")</f>
        <v/>
      </c>
      <c r="K53" s="61" t="str">
        <f>IF(AND('Mapa final'!$AB$41="Muy Baja",'Mapa final'!$AD$41="Leve"),CONCATENATE("R8C",'Mapa final'!$R$41),"")</f>
        <v/>
      </c>
      <c r="L53" s="61" t="str">
        <f>IF(AND('Mapa final'!$AB$42="Muy Baja",'Mapa final'!$AD$42="Leve"),CONCATENATE("R8C",'Mapa final'!$R$42),"")</f>
        <v/>
      </c>
      <c r="M53" s="61" t="str">
        <f>IF(AND('Mapa final'!$AB$43="Muy Baja",'Mapa final'!$AD$43="Leve"),CONCATENATE("R8C",'Mapa final'!$R$43),"")</f>
        <v/>
      </c>
      <c r="N53" s="61" t="str">
        <f>IF(AND('Mapa final'!$AB$44="Muy Baja",'Mapa final'!$AD$44="Leve"),CONCATENATE("R8C",'Mapa final'!$R$44),"")</f>
        <v/>
      </c>
      <c r="O53" s="62" t="str">
        <f>IF(AND('Mapa final'!$AB$45="Muy Baja",'Mapa final'!$AD$45="Leve"),CONCATENATE("R8C",'Mapa final'!$R$45),"")</f>
        <v/>
      </c>
      <c r="P53" s="60" t="str">
        <f>IF(AND('Mapa final'!$AB$40="Muy Baja",'Mapa final'!$AD$40="Menor"),CONCATENATE("R8C",'Mapa final'!$R$40),"")</f>
        <v/>
      </c>
      <c r="Q53" s="61" t="str">
        <f>IF(AND('Mapa final'!$AB$41="Muy Baja",'Mapa final'!$AD$41="Menor"),CONCATENATE("R8C",'Mapa final'!$R$41),"")</f>
        <v/>
      </c>
      <c r="R53" s="61" t="str">
        <f>IF(AND('Mapa final'!$AB$42="Muy Baja",'Mapa final'!$AD$42="Menor"),CONCATENATE("R8C",'Mapa final'!$R$42),"")</f>
        <v/>
      </c>
      <c r="S53" s="61" t="str">
        <f>IF(AND('Mapa final'!$AB$43="Muy Baja",'Mapa final'!$AD$43="Menor"),CONCATENATE("R8C",'Mapa final'!$R$43),"")</f>
        <v/>
      </c>
      <c r="T53" s="61" t="str">
        <f>IF(AND('Mapa final'!$AB$44="Muy Baja",'Mapa final'!$AD$44="Menor"),CONCATENATE("R8C",'Mapa final'!$R$44),"")</f>
        <v/>
      </c>
      <c r="U53" s="62" t="str">
        <f>IF(AND('Mapa final'!$AB$45="Muy Baja",'Mapa final'!$AD$45="Menor"),CONCATENATE("R8C",'Mapa final'!$R$45),"")</f>
        <v/>
      </c>
      <c r="V53" s="51" t="str">
        <f>IF(AND('Mapa final'!$AB$40="Muy Baja",'Mapa final'!$AD$40="Moderado"),CONCATENATE("R8C",'Mapa final'!$R$40),"")</f>
        <v/>
      </c>
      <c r="W53" s="52" t="str">
        <f>IF(AND('Mapa final'!$AB$41="Muy Baja",'Mapa final'!$AD$41="Moderado"),CONCATENATE("R8C",'Mapa final'!$R$41),"")</f>
        <v/>
      </c>
      <c r="X53" s="52" t="str">
        <f>IF(AND('Mapa final'!$AB$42="Muy Baja",'Mapa final'!$AD$42="Moderado"),CONCATENATE("R8C",'Mapa final'!$R$42),"")</f>
        <v/>
      </c>
      <c r="Y53" s="52" t="str">
        <f>IF(AND('Mapa final'!$AB$43="Muy Baja",'Mapa final'!$AD$43="Moderado"),CONCATENATE("R8C",'Mapa final'!$R$43),"")</f>
        <v/>
      </c>
      <c r="Z53" s="52" t="str">
        <f>IF(AND('Mapa final'!$AB$44="Muy Baja",'Mapa final'!$AD$44="Moderado"),CONCATENATE("R8C",'Mapa final'!$R$44),"")</f>
        <v/>
      </c>
      <c r="AA53" s="53" t="str">
        <f>IF(AND('Mapa final'!$AB$45="Muy Baja",'Mapa final'!$AD$45="Moderado"),CONCATENATE("R8C",'Mapa final'!$R$45),"")</f>
        <v/>
      </c>
      <c r="AB53" s="36" t="str">
        <f>IF(AND('Mapa final'!$AB$40="Muy Baja",'Mapa final'!$AD$40="Mayor"),CONCATENATE("R8C",'Mapa final'!$R$40),"")</f>
        <v/>
      </c>
      <c r="AC53" s="37" t="str">
        <f>IF(AND('Mapa final'!$AB$41="Muy Baja",'Mapa final'!$AD$41="Mayor"),CONCATENATE("R8C",'Mapa final'!$R$41),"")</f>
        <v/>
      </c>
      <c r="AD53" s="37" t="str">
        <f>IF(AND('Mapa final'!$AB$42="Muy Baja",'Mapa final'!$AD$42="Mayor"),CONCATENATE("R8C",'Mapa final'!$R$42),"")</f>
        <v/>
      </c>
      <c r="AE53" s="37" t="str">
        <f>IF(AND('Mapa final'!$AB$43="Muy Baja",'Mapa final'!$AD$43="Mayor"),CONCATENATE("R8C",'Mapa final'!$R$43),"")</f>
        <v/>
      </c>
      <c r="AF53" s="37" t="str">
        <f>IF(AND('Mapa final'!$AB$44="Muy Baja",'Mapa final'!$AD$44="Mayor"),CONCATENATE("R8C",'Mapa final'!$R$44),"")</f>
        <v/>
      </c>
      <c r="AG53" s="38" t="str">
        <f>IF(AND('Mapa final'!$AB$45="Muy Baja",'Mapa final'!$AD$45="Mayor"),CONCATENATE("R8C",'Mapa final'!$R$45),"")</f>
        <v/>
      </c>
      <c r="AH53" s="39" t="str">
        <f>IF(AND('Mapa final'!$AB$40="Muy Baja",'Mapa final'!$AD$40="Catastrófico"),CONCATENATE("R8C",'Mapa final'!$R$40),"")</f>
        <v/>
      </c>
      <c r="AI53" s="40" t="str">
        <f>IF(AND('Mapa final'!$AB$41="Muy Baja",'Mapa final'!$AD$41="Catastrófico"),CONCATENATE("R8C",'Mapa final'!$R$41),"")</f>
        <v/>
      </c>
      <c r="AJ53" s="40" t="str">
        <f>IF(AND('Mapa final'!$AB$42="Muy Baja",'Mapa final'!$AD$42="Catastrófico"),CONCATENATE("R8C",'Mapa final'!$R$42),"")</f>
        <v/>
      </c>
      <c r="AK53" s="40" t="str">
        <f>IF(AND('Mapa final'!$AB$43="Muy Baja",'Mapa final'!$AD$43="Catastrófico"),CONCATENATE("R8C",'Mapa final'!$R$43),"")</f>
        <v/>
      </c>
      <c r="AL53" s="40" t="str">
        <f>IF(AND('Mapa final'!$AB$44="Muy Baja",'Mapa final'!$AD$44="Catastrófico"),CONCATENATE("R8C",'Mapa final'!$R$44),"")</f>
        <v/>
      </c>
      <c r="AM53" s="41" t="str">
        <f>IF(AND('Mapa final'!$AB$45="Muy Baja",'Mapa final'!$AD$45="Catastrófico"),CONCATENATE("R8C",'Mapa final'!$R$45),"")</f>
        <v/>
      </c>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3">
      <c r="A54" s="67"/>
      <c r="B54" s="532"/>
      <c r="C54" s="532"/>
      <c r="D54" s="533"/>
      <c r="E54" s="573"/>
      <c r="F54" s="574"/>
      <c r="G54" s="574"/>
      <c r="H54" s="574"/>
      <c r="I54" s="575"/>
      <c r="J54" s="60" t="str">
        <f>IF(AND('Mapa final'!$AB$46="Muy Baja",'Mapa final'!$AD$46="Leve"),CONCATENATE("R9C",'Mapa final'!$R$46),"")</f>
        <v/>
      </c>
      <c r="K54" s="61" t="str">
        <f>IF(AND('Mapa final'!$AB$47="Muy Baja",'Mapa final'!$AD$47="Leve"),CONCATENATE("R9C",'Mapa final'!$R$47),"")</f>
        <v/>
      </c>
      <c r="L54" s="61" t="str">
        <f>IF(AND('Mapa final'!$AB$48="Muy Baja",'Mapa final'!$AD$48="Leve"),CONCATENATE("R9C",'Mapa final'!$R$48),"")</f>
        <v/>
      </c>
      <c r="M54" s="61" t="str">
        <f>IF(AND('Mapa final'!$AB$49="Muy Baja",'Mapa final'!$AD$49="Leve"),CONCATENATE("R9C",'Mapa final'!$R$49),"")</f>
        <v/>
      </c>
      <c r="N54" s="61" t="str">
        <f>IF(AND('Mapa final'!$AB$50="Muy Baja",'Mapa final'!$AD$50="Leve"),CONCATENATE("R9C",'Mapa final'!$R$50),"")</f>
        <v/>
      </c>
      <c r="O54" s="62" t="str">
        <f>IF(AND('Mapa final'!$AB$51="Muy Baja",'Mapa final'!$AD$51="Leve"),CONCATENATE("R9C",'Mapa final'!$R$51),"")</f>
        <v/>
      </c>
      <c r="P54" s="60" t="str">
        <f>IF(AND('Mapa final'!$AB$46="Muy Baja",'Mapa final'!$AD$46="Menor"),CONCATENATE("R9C",'Mapa final'!$R$46),"")</f>
        <v/>
      </c>
      <c r="Q54" s="61" t="str">
        <f>IF(AND('Mapa final'!$AB$47="Muy Baja",'Mapa final'!$AD$47="Menor"),CONCATENATE("R9C",'Mapa final'!$R$47),"")</f>
        <v/>
      </c>
      <c r="R54" s="61" t="str">
        <f>IF(AND('Mapa final'!$AB$48="Muy Baja",'Mapa final'!$AD$48="Menor"),CONCATENATE("R9C",'Mapa final'!$R$48),"")</f>
        <v/>
      </c>
      <c r="S54" s="61" t="str">
        <f>IF(AND('Mapa final'!$AB$49="Muy Baja",'Mapa final'!$AD$49="Menor"),CONCATENATE("R9C",'Mapa final'!$R$49),"")</f>
        <v/>
      </c>
      <c r="T54" s="61" t="str">
        <f>IF(AND('Mapa final'!$AB$50="Muy Baja",'Mapa final'!$AD$50="Menor"),CONCATENATE("R9C",'Mapa final'!$R$50),"")</f>
        <v/>
      </c>
      <c r="U54" s="62" t="str">
        <f>IF(AND('Mapa final'!$AB$51="Muy Baja",'Mapa final'!$AD$51="Menor"),CONCATENATE("R9C",'Mapa final'!$R$51),"")</f>
        <v/>
      </c>
      <c r="V54" s="51" t="str">
        <f>IF(AND('Mapa final'!$AB$46="Muy Baja",'Mapa final'!$AD$46="Moderado"),CONCATENATE("R9C",'Mapa final'!$R$46),"")</f>
        <v/>
      </c>
      <c r="W54" s="52" t="str">
        <f>IF(AND('Mapa final'!$AB$47="Muy Baja",'Mapa final'!$AD$47="Moderado"),CONCATENATE("R9C",'Mapa final'!$R$47),"")</f>
        <v/>
      </c>
      <c r="X54" s="52" t="str">
        <f>IF(AND('Mapa final'!$AB$48="Muy Baja",'Mapa final'!$AD$48="Moderado"),CONCATENATE("R9C",'Mapa final'!$R$48),"")</f>
        <v/>
      </c>
      <c r="Y54" s="52" t="str">
        <f>IF(AND('Mapa final'!$AB$49="Muy Baja",'Mapa final'!$AD$49="Moderado"),CONCATENATE("R9C",'Mapa final'!$R$49),"")</f>
        <v/>
      </c>
      <c r="Z54" s="52" t="str">
        <f>IF(AND('Mapa final'!$AB$50="Muy Baja",'Mapa final'!$AD$50="Moderado"),CONCATENATE("R9C",'Mapa final'!$R$50),"")</f>
        <v/>
      </c>
      <c r="AA54" s="53" t="str">
        <f>IF(AND('Mapa final'!$AB$51="Muy Baja",'Mapa final'!$AD$51="Moderado"),CONCATENATE("R9C",'Mapa final'!$R$51),"")</f>
        <v/>
      </c>
      <c r="AB54" s="36" t="str">
        <f>IF(AND('Mapa final'!$AB$46="Muy Baja",'Mapa final'!$AD$46="Mayor"),CONCATENATE("R9C",'Mapa final'!$R$46),"")</f>
        <v/>
      </c>
      <c r="AC54" s="37" t="str">
        <f>IF(AND('Mapa final'!$AB$47="Muy Baja",'Mapa final'!$AD$47="Mayor"),CONCATENATE("R9C",'Mapa final'!$R$47),"")</f>
        <v/>
      </c>
      <c r="AD54" s="37" t="str">
        <f>IF(AND('Mapa final'!$AB$48="Muy Baja",'Mapa final'!$AD$48="Mayor"),CONCATENATE("R9C",'Mapa final'!$R$48),"")</f>
        <v/>
      </c>
      <c r="AE54" s="37" t="str">
        <f>IF(AND('Mapa final'!$AB$49="Muy Baja",'Mapa final'!$AD$49="Mayor"),CONCATENATE("R9C",'Mapa final'!$R$49),"")</f>
        <v/>
      </c>
      <c r="AF54" s="37" t="str">
        <f>IF(AND('Mapa final'!$AB$50="Muy Baja",'Mapa final'!$AD$50="Mayor"),CONCATENATE("R9C",'Mapa final'!$R$50),"")</f>
        <v/>
      </c>
      <c r="AG54" s="38" t="str">
        <f>IF(AND('Mapa final'!$AB$51="Muy Baja",'Mapa final'!$AD$51="Mayor"),CONCATENATE("R9C",'Mapa final'!$R$51),"")</f>
        <v/>
      </c>
      <c r="AH54" s="39" t="str">
        <f>IF(AND('Mapa final'!$AB$46="Muy Baja",'Mapa final'!$AD$46="Catastrófico"),CONCATENATE("R9C",'Mapa final'!$R$46),"")</f>
        <v/>
      </c>
      <c r="AI54" s="40" t="str">
        <f>IF(AND('Mapa final'!$AB$47="Muy Baja",'Mapa final'!$AD$47="Catastrófico"),CONCATENATE("R9C",'Mapa final'!$R$47),"")</f>
        <v/>
      </c>
      <c r="AJ54" s="40" t="str">
        <f>IF(AND('Mapa final'!$AB$48="Muy Baja",'Mapa final'!$AD$48="Catastrófico"),CONCATENATE("R9C",'Mapa final'!$R$48),"")</f>
        <v/>
      </c>
      <c r="AK54" s="40" t="str">
        <f>IF(AND('Mapa final'!$AB$49="Muy Baja",'Mapa final'!$AD$49="Catastrófico"),CONCATENATE("R9C",'Mapa final'!$R$49),"")</f>
        <v/>
      </c>
      <c r="AL54" s="40" t="str">
        <f>IF(AND('Mapa final'!$AB$50="Muy Baja",'Mapa final'!$AD$50="Catastrófico"),CONCATENATE("R9C",'Mapa final'!$R$50),"")</f>
        <v/>
      </c>
      <c r="AM54" s="41" t="str">
        <f>IF(AND('Mapa final'!$AB$51="Muy Baja",'Mapa final'!$AD$51="Catastrófico"),CONCATENATE("R9C",'Mapa final'!$R$51),"")</f>
        <v/>
      </c>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ht="15.75" customHeight="1" thickBot="1" x14ac:dyDescent="0.35">
      <c r="A55" s="67"/>
      <c r="B55" s="532"/>
      <c r="C55" s="532"/>
      <c r="D55" s="533"/>
      <c r="E55" s="576"/>
      <c r="F55" s="577"/>
      <c r="G55" s="577"/>
      <c r="H55" s="577"/>
      <c r="I55" s="578"/>
      <c r="J55" s="63" t="str">
        <f>IF(AND('Mapa final'!$AB$52="Muy Baja",'Mapa final'!$AD$52="Leve"),CONCATENATE("R10C",'Mapa final'!$R$52),"")</f>
        <v/>
      </c>
      <c r="K55" s="64" t="str">
        <f>IF(AND('Mapa final'!$AB$53="Muy Baja",'Mapa final'!$AD$53="Leve"),CONCATENATE("R10C",'Mapa final'!$R$53),"")</f>
        <v/>
      </c>
      <c r="L55" s="64" t="str">
        <f>IF(AND('Mapa final'!$AB$54="Muy Baja",'Mapa final'!$AD$54="Leve"),CONCATENATE("R10C",'Mapa final'!$R$54),"")</f>
        <v/>
      </c>
      <c r="M55" s="64" t="str">
        <f>IF(AND('Mapa final'!$AB$55="Muy Baja",'Mapa final'!$AD$55="Leve"),CONCATENATE("R10C",'Mapa final'!$R$55),"")</f>
        <v/>
      </c>
      <c r="N55" s="64" t="str">
        <f>IF(AND('Mapa final'!$AB$56="Muy Baja",'Mapa final'!$AD$56="Leve"),CONCATENATE("R10C",'Mapa final'!$R$56),"")</f>
        <v/>
      </c>
      <c r="O55" s="65" t="str">
        <f>IF(AND('Mapa final'!$AB$57="Muy Baja",'Mapa final'!$AD$57="Leve"),CONCATENATE("R10C",'Mapa final'!$R$57),"")</f>
        <v/>
      </c>
      <c r="P55" s="63" t="str">
        <f>IF(AND('Mapa final'!$AB$52="Muy Baja",'Mapa final'!$AD$52="Menor"),CONCATENATE("R10C",'Mapa final'!$R$52),"")</f>
        <v/>
      </c>
      <c r="Q55" s="64" t="str">
        <f>IF(AND('Mapa final'!$AB$53="Muy Baja",'Mapa final'!$AD$53="Menor"),CONCATENATE("R10C",'Mapa final'!$R$53),"")</f>
        <v/>
      </c>
      <c r="R55" s="64" t="str">
        <f>IF(AND('Mapa final'!$AB$54="Muy Baja",'Mapa final'!$AD$54="Menor"),CONCATENATE("R10C",'Mapa final'!$R$54),"")</f>
        <v/>
      </c>
      <c r="S55" s="64" t="str">
        <f>IF(AND('Mapa final'!$AB$55="Muy Baja",'Mapa final'!$AD$55="Menor"),CONCATENATE("R10C",'Mapa final'!$R$55),"")</f>
        <v/>
      </c>
      <c r="T55" s="64" t="str">
        <f>IF(AND('Mapa final'!$AB$56="Muy Baja",'Mapa final'!$AD$56="Menor"),CONCATENATE("R10C",'Mapa final'!$R$56),"")</f>
        <v/>
      </c>
      <c r="U55" s="65" t="str">
        <f>IF(AND('Mapa final'!$AB$57="Muy Baja",'Mapa final'!$AD$57="Menor"),CONCATENATE("R10C",'Mapa final'!$R$57),"")</f>
        <v/>
      </c>
      <c r="V55" s="54" t="str">
        <f>IF(AND('Mapa final'!$AB$52="Muy Baja",'Mapa final'!$AD$52="Moderado"),CONCATENATE("R10C",'Mapa final'!$R$52),"")</f>
        <v/>
      </c>
      <c r="W55" s="55" t="str">
        <f>IF(AND('Mapa final'!$AB$53="Muy Baja",'Mapa final'!$AD$53="Moderado"),CONCATENATE("R10C",'Mapa final'!$R$53),"")</f>
        <v/>
      </c>
      <c r="X55" s="55" t="str">
        <f>IF(AND('Mapa final'!$AB$54="Muy Baja",'Mapa final'!$AD$54="Moderado"),CONCATENATE("R10C",'Mapa final'!$R$54),"")</f>
        <v/>
      </c>
      <c r="Y55" s="55" t="str">
        <f>IF(AND('Mapa final'!$AB$55="Muy Baja",'Mapa final'!$AD$55="Moderado"),CONCATENATE("R10C",'Mapa final'!$R$55),"")</f>
        <v/>
      </c>
      <c r="Z55" s="55" t="str">
        <f>IF(AND('Mapa final'!$AB$56="Muy Baja",'Mapa final'!$AD$56="Moderado"),CONCATENATE("R10C",'Mapa final'!$R$56),"")</f>
        <v/>
      </c>
      <c r="AA55" s="56" t="str">
        <f>IF(AND('Mapa final'!$AB$57="Muy Baja",'Mapa final'!$AD$57="Moderado"),CONCATENATE("R10C",'Mapa final'!$R$57),"")</f>
        <v/>
      </c>
      <c r="AB55" s="42" t="str">
        <f>IF(AND('Mapa final'!$AB$52="Muy Baja",'Mapa final'!$AD$52="Mayor"),CONCATENATE("R10C",'Mapa final'!$R$52),"")</f>
        <v/>
      </c>
      <c r="AC55" s="43" t="str">
        <f>IF(AND('Mapa final'!$AB$53="Muy Baja",'Mapa final'!$AD$53="Mayor"),CONCATENATE("R10C",'Mapa final'!$R$53),"")</f>
        <v/>
      </c>
      <c r="AD55" s="43" t="str">
        <f>IF(AND('Mapa final'!$AB$54="Muy Baja",'Mapa final'!$AD$54="Mayor"),CONCATENATE("R10C",'Mapa final'!$R$54),"")</f>
        <v/>
      </c>
      <c r="AE55" s="43" t="str">
        <f>IF(AND('Mapa final'!$AB$55="Muy Baja",'Mapa final'!$AD$55="Mayor"),CONCATENATE("R10C",'Mapa final'!$R$55),"")</f>
        <v/>
      </c>
      <c r="AF55" s="43" t="str">
        <f>IF(AND('Mapa final'!$AB$56="Muy Baja",'Mapa final'!$AD$56="Mayor"),CONCATENATE("R10C",'Mapa final'!$R$56),"")</f>
        <v/>
      </c>
      <c r="AG55" s="44" t="str">
        <f>IF(AND('Mapa final'!$AB$57="Muy Baja",'Mapa final'!$AD$57="Mayor"),CONCATENATE("R10C",'Mapa final'!$R$57),"")</f>
        <v/>
      </c>
      <c r="AH55" s="45" t="str">
        <f>IF(AND('Mapa final'!$AB$52="Muy Baja",'Mapa final'!$AD$52="Catastrófico"),CONCATENATE("R10C",'Mapa final'!$R$52),"")</f>
        <v/>
      </c>
      <c r="AI55" s="46" t="str">
        <f>IF(AND('Mapa final'!$AB$53="Muy Baja",'Mapa final'!$AD$53="Catastrófico"),CONCATENATE("R10C",'Mapa final'!$R$53),"")</f>
        <v/>
      </c>
      <c r="AJ55" s="46" t="str">
        <f>IF(AND('Mapa final'!$AB$54="Muy Baja",'Mapa final'!$AD$54="Catastrófico"),CONCATENATE("R10C",'Mapa final'!$R$54),"")</f>
        <v/>
      </c>
      <c r="AK55" s="46" t="str">
        <f>IF(AND('Mapa final'!$AB$55="Muy Baja",'Mapa final'!$AD$55="Catastrófico"),CONCATENATE("R10C",'Mapa final'!$R$55),"")</f>
        <v/>
      </c>
      <c r="AL55" s="46" t="str">
        <f>IF(AND('Mapa final'!$AB$56="Muy Baja",'Mapa final'!$AD$56="Catastrófico"),CONCATENATE("R10C",'Mapa final'!$R$56),"")</f>
        <v/>
      </c>
      <c r="AM55" s="47" t="str">
        <f>IF(AND('Mapa final'!$AB$57="Muy Baja",'Mapa final'!$AD$57="Catastrófico"),CONCATENATE("R10C",'Mapa final'!$R$57),"")</f>
        <v/>
      </c>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3">
      <c r="A56" s="67"/>
      <c r="B56" s="67"/>
      <c r="C56" s="67"/>
      <c r="D56" s="67"/>
      <c r="E56" s="67"/>
      <c r="F56" s="67"/>
      <c r="G56" s="67"/>
      <c r="H56" s="67"/>
      <c r="I56" s="67"/>
      <c r="J56" s="570" t="s">
        <v>107</v>
      </c>
      <c r="K56" s="571"/>
      <c r="L56" s="571"/>
      <c r="M56" s="571"/>
      <c r="N56" s="571"/>
      <c r="O56" s="572"/>
      <c r="P56" s="570" t="s">
        <v>106</v>
      </c>
      <c r="Q56" s="571"/>
      <c r="R56" s="571"/>
      <c r="S56" s="571"/>
      <c r="T56" s="571"/>
      <c r="U56" s="572"/>
      <c r="V56" s="570" t="s">
        <v>105</v>
      </c>
      <c r="W56" s="571"/>
      <c r="X56" s="571"/>
      <c r="Y56" s="571"/>
      <c r="Z56" s="571"/>
      <c r="AA56" s="572"/>
      <c r="AB56" s="570" t="s">
        <v>104</v>
      </c>
      <c r="AC56" s="579"/>
      <c r="AD56" s="571"/>
      <c r="AE56" s="571"/>
      <c r="AF56" s="571"/>
      <c r="AG56" s="572"/>
      <c r="AH56" s="570" t="s">
        <v>103</v>
      </c>
      <c r="AI56" s="571"/>
      <c r="AJ56" s="571"/>
      <c r="AK56" s="571"/>
      <c r="AL56" s="571"/>
      <c r="AM56" s="572"/>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3">
      <c r="A57" s="67"/>
      <c r="B57" s="67"/>
      <c r="C57" s="67"/>
      <c r="D57" s="67"/>
      <c r="E57" s="67"/>
      <c r="F57" s="67"/>
      <c r="G57" s="67"/>
      <c r="H57" s="67"/>
      <c r="I57" s="67"/>
      <c r="J57" s="573"/>
      <c r="K57" s="574"/>
      <c r="L57" s="574"/>
      <c r="M57" s="574"/>
      <c r="N57" s="574"/>
      <c r="O57" s="575"/>
      <c r="P57" s="573"/>
      <c r="Q57" s="574"/>
      <c r="R57" s="574"/>
      <c r="S57" s="574"/>
      <c r="T57" s="574"/>
      <c r="U57" s="575"/>
      <c r="V57" s="573"/>
      <c r="W57" s="574"/>
      <c r="X57" s="574"/>
      <c r="Y57" s="574"/>
      <c r="Z57" s="574"/>
      <c r="AA57" s="575"/>
      <c r="AB57" s="573"/>
      <c r="AC57" s="574"/>
      <c r="AD57" s="574"/>
      <c r="AE57" s="574"/>
      <c r="AF57" s="574"/>
      <c r="AG57" s="575"/>
      <c r="AH57" s="573"/>
      <c r="AI57" s="574"/>
      <c r="AJ57" s="574"/>
      <c r="AK57" s="574"/>
      <c r="AL57" s="574"/>
      <c r="AM57" s="575"/>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3">
      <c r="A58" s="67"/>
      <c r="B58" s="67"/>
      <c r="C58" s="67"/>
      <c r="D58" s="67"/>
      <c r="E58" s="67"/>
      <c r="F58" s="67"/>
      <c r="G58" s="67"/>
      <c r="H58" s="67"/>
      <c r="I58" s="67"/>
      <c r="J58" s="573"/>
      <c r="K58" s="574"/>
      <c r="L58" s="574"/>
      <c r="M58" s="574"/>
      <c r="N58" s="574"/>
      <c r="O58" s="575"/>
      <c r="P58" s="573"/>
      <c r="Q58" s="574"/>
      <c r="R58" s="574"/>
      <c r="S58" s="574"/>
      <c r="T58" s="574"/>
      <c r="U58" s="575"/>
      <c r="V58" s="573"/>
      <c r="W58" s="574"/>
      <c r="X58" s="574"/>
      <c r="Y58" s="574"/>
      <c r="Z58" s="574"/>
      <c r="AA58" s="575"/>
      <c r="AB58" s="573"/>
      <c r="AC58" s="574"/>
      <c r="AD58" s="574"/>
      <c r="AE58" s="574"/>
      <c r="AF58" s="574"/>
      <c r="AG58" s="575"/>
      <c r="AH58" s="573"/>
      <c r="AI58" s="574"/>
      <c r="AJ58" s="574"/>
      <c r="AK58" s="574"/>
      <c r="AL58" s="574"/>
      <c r="AM58" s="575"/>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3">
      <c r="A59" s="67"/>
      <c r="B59" s="67"/>
      <c r="C59" s="67"/>
      <c r="D59" s="67"/>
      <c r="E59" s="67"/>
      <c r="F59" s="67"/>
      <c r="G59" s="67"/>
      <c r="H59" s="67"/>
      <c r="I59" s="67"/>
      <c r="J59" s="573"/>
      <c r="K59" s="574"/>
      <c r="L59" s="574"/>
      <c r="M59" s="574"/>
      <c r="N59" s="574"/>
      <c r="O59" s="575"/>
      <c r="P59" s="573"/>
      <c r="Q59" s="574"/>
      <c r="R59" s="574"/>
      <c r="S59" s="574"/>
      <c r="T59" s="574"/>
      <c r="U59" s="575"/>
      <c r="V59" s="573"/>
      <c r="W59" s="574"/>
      <c r="X59" s="574"/>
      <c r="Y59" s="574"/>
      <c r="Z59" s="574"/>
      <c r="AA59" s="575"/>
      <c r="AB59" s="573"/>
      <c r="AC59" s="574"/>
      <c r="AD59" s="574"/>
      <c r="AE59" s="574"/>
      <c r="AF59" s="574"/>
      <c r="AG59" s="575"/>
      <c r="AH59" s="573"/>
      <c r="AI59" s="574"/>
      <c r="AJ59" s="574"/>
      <c r="AK59" s="574"/>
      <c r="AL59" s="574"/>
      <c r="AM59" s="575"/>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3">
      <c r="A60" s="67"/>
      <c r="B60" s="67"/>
      <c r="C60" s="67"/>
      <c r="D60" s="67"/>
      <c r="E60" s="67"/>
      <c r="F60" s="67"/>
      <c r="G60" s="67"/>
      <c r="H60" s="67"/>
      <c r="I60" s="67"/>
      <c r="J60" s="573"/>
      <c r="K60" s="574"/>
      <c r="L60" s="574"/>
      <c r="M60" s="574"/>
      <c r="N60" s="574"/>
      <c r="O60" s="575"/>
      <c r="P60" s="573"/>
      <c r="Q60" s="574"/>
      <c r="R60" s="574"/>
      <c r="S60" s="574"/>
      <c r="T60" s="574"/>
      <c r="U60" s="575"/>
      <c r="V60" s="573"/>
      <c r="W60" s="574"/>
      <c r="X60" s="574"/>
      <c r="Y60" s="574"/>
      <c r="Z60" s="574"/>
      <c r="AA60" s="575"/>
      <c r="AB60" s="573"/>
      <c r="AC60" s="574"/>
      <c r="AD60" s="574"/>
      <c r="AE60" s="574"/>
      <c r="AF60" s="574"/>
      <c r="AG60" s="575"/>
      <c r="AH60" s="573"/>
      <c r="AI60" s="574"/>
      <c r="AJ60" s="574"/>
      <c r="AK60" s="574"/>
      <c r="AL60" s="574"/>
      <c r="AM60" s="575"/>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ht="15" thickBot="1" x14ac:dyDescent="0.35">
      <c r="A61" s="67"/>
      <c r="B61" s="67"/>
      <c r="C61" s="67"/>
      <c r="D61" s="67"/>
      <c r="E61" s="67"/>
      <c r="F61" s="67"/>
      <c r="G61" s="67"/>
      <c r="H61" s="67"/>
      <c r="I61" s="67"/>
      <c r="J61" s="576"/>
      <c r="K61" s="577"/>
      <c r="L61" s="577"/>
      <c r="M61" s="577"/>
      <c r="N61" s="577"/>
      <c r="O61" s="578"/>
      <c r="P61" s="576"/>
      <c r="Q61" s="577"/>
      <c r="R61" s="577"/>
      <c r="S61" s="577"/>
      <c r="T61" s="577"/>
      <c r="U61" s="578"/>
      <c r="V61" s="576"/>
      <c r="W61" s="577"/>
      <c r="X61" s="577"/>
      <c r="Y61" s="577"/>
      <c r="Z61" s="577"/>
      <c r="AA61" s="578"/>
      <c r="AB61" s="576"/>
      <c r="AC61" s="577"/>
      <c r="AD61" s="577"/>
      <c r="AE61" s="577"/>
      <c r="AF61" s="577"/>
      <c r="AG61" s="578"/>
      <c r="AH61" s="576"/>
      <c r="AI61" s="577"/>
      <c r="AJ61" s="577"/>
      <c r="AK61" s="577"/>
      <c r="AL61" s="577"/>
      <c r="AM61" s="578"/>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3">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row>
    <row r="63" spans="1:80" ht="15" customHeight="1" x14ac:dyDescent="0.3">
      <c r="A63" s="67"/>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67"/>
      <c r="AV63" s="67"/>
      <c r="AW63" s="67"/>
      <c r="AX63" s="67"/>
      <c r="AY63" s="67"/>
      <c r="AZ63" s="67"/>
      <c r="BA63" s="67"/>
      <c r="BB63" s="67"/>
      <c r="BC63" s="67"/>
      <c r="BD63" s="67"/>
      <c r="BE63" s="67"/>
      <c r="BF63" s="67"/>
      <c r="BG63" s="67"/>
      <c r="BH63" s="67"/>
    </row>
    <row r="64" spans="1:80" ht="15" customHeight="1" x14ac:dyDescent="0.3">
      <c r="A64" s="67"/>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67"/>
      <c r="AV64" s="67"/>
      <c r="AW64" s="67"/>
      <c r="AX64" s="67"/>
      <c r="AY64" s="67"/>
      <c r="AZ64" s="67"/>
      <c r="BA64" s="67"/>
      <c r="BB64" s="67"/>
      <c r="BC64" s="67"/>
      <c r="BD64" s="67"/>
      <c r="BE64" s="67"/>
      <c r="BF64" s="67"/>
      <c r="BG64" s="67"/>
      <c r="BH64" s="67"/>
    </row>
    <row r="65" spans="1:60" x14ac:dyDescent="0.3">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row>
    <row r="66" spans="1:60"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row>
    <row r="67" spans="1:60" x14ac:dyDescent="0.3">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row>
    <row r="68" spans="1:60" x14ac:dyDescent="0.3">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row>
    <row r="69" spans="1:60" x14ac:dyDescent="0.3">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row>
    <row r="70" spans="1:60" x14ac:dyDescent="0.3">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row>
    <row r="71" spans="1:60" x14ac:dyDescent="0.3">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row>
    <row r="72" spans="1:60" x14ac:dyDescent="0.3">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row>
    <row r="73" spans="1:60" x14ac:dyDescent="0.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row>
    <row r="74" spans="1:60" x14ac:dyDescent="0.3">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row>
    <row r="75" spans="1:60" x14ac:dyDescent="0.3">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row>
    <row r="76" spans="1:60" x14ac:dyDescent="0.3">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row>
    <row r="77" spans="1:60" x14ac:dyDescent="0.3">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row>
    <row r="78" spans="1:60" x14ac:dyDescent="0.3">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row>
    <row r="79" spans="1:60" x14ac:dyDescent="0.3">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row>
    <row r="80" spans="1:60" x14ac:dyDescent="0.3">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row>
    <row r="81" spans="1:60" x14ac:dyDescent="0.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row>
    <row r="82" spans="1:60" x14ac:dyDescent="0.3">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row>
    <row r="83" spans="1:60" x14ac:dyDescent="0.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row>
    <row r="84" spans="1:60" x14ac:dyDescent="0.3">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row>
    <row r="85" spans="1:60" x14ac:dyDescent="0.3">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row>
    <row r="86" spans="1:60" x14ac:dyDescent="0.3">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row>
    <row r="87" spans="1:60" x14ac:dyDescent="0.3">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row>
    <row r="88" spans="1:60" x14ac:dyDescent="0.3">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row>
    <row r="89" spans="1:60" x14ac:dyDescent="0.3">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row>
    <row r="90" spans="1:60" x14ac:dyDescent="0.3">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row>
    <row r="91" spans="1:60" x14ac:dyDescent="0.3">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row>
    <row r="92" spans="1:60" x14ac:dyDescent="0.3">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row>
    <row r="93" spans="1:60" x14ac:dyDescent="0.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row>
    <row r="94" spans="1:60" x14ac:dyDescent="0.3">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row>
    <row r="95" spans="1:60" x14ac:dyDescent="0.3">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row>
    <row r="96" spans="1:60" x14ac:dyDescent="0.3">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row>
    <row r="97" spans="1:60" x14ac:dyDescent="0.3">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row>
    <row r="98" spans="1:60" x14ac:dyDescent="0.3">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row>
    <row r="99" spans="1:60" x14ac:dyDescent="0.3">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row>
    <row r="100" spans="1:60" x14ac:dyDescent="0.3">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row>
    <row r="101" spans="1:60" x14ac:dyDescent="0.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row>
    <row r="102" spans="1:60" x14ac:dyDescent="0.3">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row>
    <row r="103" spans="1:60" x14ac:dyDescent="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row>
    <row r="104" spans="1:60" x14ac:dyDescent="0.3">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row>
    <row r="105" spans="1:60" x14ac:dyDescent="0.3">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row>
    <row r="106" spans="1:60" x14ac:dyDescent="0.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row>
    <row r="107" spans="1:60" x14ac:dyDescent="0.3">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row>
    <row r="108" spans="1:60" x14ac:dyDescent="0.3">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row>
    <row r="109" spans="1:60" x14ac:dyDescent="0.3">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row>
    <row r="110" spans="1:60" x14ac:dyDescent="0.3">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row>
    <row r="111" spans="1:60" x14ac:dyDescent="0.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row>
    <row r="112" spans="1:60" x14ac:dyDescent="0.3">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row>
    <row r="113" spans="1:60" x14ac:dyDescent="0.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row>
    <row r="114" spans="1:60" x14ac:dyDescent="0.3">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row>
    <row r="115" spans="1:60" x14ac:dyDescent="0.3">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row>
    <row r="116" spans="1:60" x14ac:dyDescent="0.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row>
    <row r="117" spans="1:60" x14ac:dyDescent="0.3">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row>
    <row r="118" spans="1:60" x14ac:dyDescent="0.3">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row>
    <row r="119" spans="1:60" x14ac:dyDescent="0.3">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row>
    <row r="120" spans="1:60" x14ac:dyDescent="0.3">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row>
    <row r="121" spans="1:60" x14ac:dyDescent="0.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row>
    <row r="122" spans="1:60" x14ac:dyDescent="0.3">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row>
    <row r="123" spans="1:60" x14ac:dyDescent="0.3">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row>
    <row r="124" spans="1:60" x14ac:dyDescent="0.3">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row>
    <row r="125" spans="1:60" x14ac:dyDescent="0.3">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row>
    <row r="126" spans="1:60" x14ac:dyDescent="0.3">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row>
    <row r="127" spans="1:60" x14ac:dyDescent="0.3">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row>
    <row r="128" spans="1:60" x14ac:dyDescent="0.3">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row>
    <row r="129" spans="1:60" x14ac:dyDescent="0.3">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row>
    <row r="130" spans="1:60" x14ac:dyDescent="0.3">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row>
    <row r="131" spans="1:60" x14ac:dyDescent="0.3">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row>
    <row r="132" spans="1:60" x14ac:dyDescent="0.3">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row>
    <row r="133" spans="1:60" x14ac:dyDescent="0.3">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row>
    <row r="134" spans="1:60" x14ac:dyDescent="0.3">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row>
    <row r="135" spans="1:60" x14ac:dyDescent="0.3">
      <c r="A135" s="67"/>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row>
    <row r="136" spans="1:60" x14ac:dyDescent="0.3">
      <c r="A136" s="67"/>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row>
    <row r="137" spans="1:60" x14ac:dyDescent="0.3">
      <c r="A137" s="67"/>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7"/>
      <c r="BC137" s="67"/>
      <c r="BD137" s="67"/>
      <c r="BE137" s="67"/>
      <c r="BF137" s="67"/>
      <c r="BG137" s="67"/>
      <c r="BH137" s="67"/>
    </row>
    <row r="138" spans="1:60" x14ac:dyDescent="0.3">
      <c r="A138" s="67"/>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7"/>
      <c r="BC138" s="67"/>
      <c r="BD138" s="67"/>
      <c r="BE138" s="67"/>
      <c r="BF138" s="67"/>
      <c r="BG138" s="67"/>
      <c r="BH138" s="67"/>
    </row>
    <row r="139" spans="1:60" x14ac:dyDescent="0.3">
      <c r="A139" s="67"/>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c r="AP139" s="67"/>
      <c r="AQ139" s="67"/>
      <c r="AR139" s="67"/>
      <c r="AS139" s="67"/>
      <c r="AT139" s="67"/>
      <c r="AU139" s="67"/>
      <c r="AV139" s="67"/>
      <c r="AW139" s="67"/>
      <c r="AX139" s="67"/>
      <c r="AY139" s="67"/>
      <c r="AZ139" s="67"/>
      <c r="BA139" s="67"/>
      <c r="BB139" s="67"/>
      <c r="BC139" s="67"/>
      <c r="BD139" s="67"/>
      <c r="BE139" s="67"/>
      <c r="BF139" s="67"/>
      <c r="BG139" s="67"/>
      <c r="BH139" s="67"/>
    </row>
    <row r="140" spans="1:60" x14ac:dyDescent="0.3">
      <c r="A140" s="67"/>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7"/>
      <c r="AK140" s="67"/>
      <c r="AL140" s="67"/>
      <c r="AM140" s="67"/>
      <c r="AN140" s="67"/>
      <c r="AO140" s="67"/>
      <c r="AP140" s="67"/>
      <c r="AQ140" s="67"/>
      <c r="AR140" s="67"/>
      <c r="AS140" s="67"/>
      <c r="AT140" s="67"/>
      <c r="AU140" s="67"/>
      <c r="AV140" s="67"/>
      <c r="AW140" s="67"/>
      <c r="AX140" s="67"/>
      <c r="AY140" s="67"/>
      <c r="AZ140" s="67"/>
      <c r="BA140" s="67"/>
      <c r="BB140" s="67"/>
      <c r="BC140" s="67"/>
      <c r="BD140" s="67"/>
      <c r="BE140" s="67"/>
      <c r="BF140" s="67"/>
      <c r="BG140" s="67"/>
      <c r="BH140" s="67"/>
    </row>
    <row r="141" spans="1:60" x14ac:dyDescent="0.3">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c r="AP141" s="67"/>
      <c r="AQ141" s="67"/>
      <c r="AR141" s="67"/>
      <c r="AS141" s="67"/>
      <c r="AT141" s="67"/>
      <c r="AU141" s="67"/>
      <c r="AV141" s="67"/>
      <c r="AW141" s="67"/>
      <c r="AX141" s="67"/>
      <c r="AY141" s="67"/>
      <c r="AZ141" s="67"/>
      <c r="BA141" s="67"/>
      <c r="BB141" s="67"/>
      <c r="BC141" s="67"/>
      <c r="BD141" s="67"/>
      <c r="BE141" s="67"/>
      <c r="BF141" s="67"/>
      <c r="BG141" s="67"/>
      <c r="BH141" s="67"/>
    </row>
    <row r="142" spans="1:60" x14ac:dyDescent="0.3">
      <c r="A142" s="67"/>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c r="AP142" s="67"/>
      <c r="AQ142" s="67"/>
      <c r="AR142" s="67"/>
      <c r="AS142" s="67"/>
      <c r="AT142" s="67"/>
      <c r="AU142" s="67"/>
      <c r="AV142" s="67"/>
      <c r="AW142" s="67"/>
      <c r="AX142" s="67"/>
      <c r="AY142" s="67"/>
      <c r="AZ142" s="67"/>
      <c r="BA142" s="67"/>
      <c r="BB142" s="67"/>
      <c r="BC142" s="67"/>
      <c r="BD142" s="67"/>
      <c r="BE142" s="67"/>
      <c r="BF142" s="67"/>
      <c r="BG142" s="67"/>
      <c r="BH142" s="67"/>
    </row>
    <row r="143" spans="1:60" x14ac:dyDescent="0.3">
      <c r="A143" s="67"/>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J143" s="67"/>
      <c r="AK143" s="67"/>
      <c r="AL143" s="67"/>
      <c r="AM143" s="67"/>
      <c r="AN143" s="67"/>
      <c r="AO143" s="67"/>
      <c r="AP143" s="67"/>
      <c r="AQ143" s="67"/>
      <c r="AR143" s="67"/>
      <c r="AS143" s="67"/>
      <c r="AT143" s="67"/>
      <c r="AU143" s="67"/>
      <c r="AV143" s="67"/>
      <c r="AW143" s="67"/>
      <c r="AX143" s="67"/>
      <c r="AY143" s="67"/>
      <c r="AZ143" s="67"/>
      <c r="BA143" s="67"/>
      <c r="BB143" s="67"/>
      <c r="BC143" s="67"/>
      <c r="BD143" s="67"/>
      <c r="BE143" s="67"/>
      <c r="BF143" s="67"/>
      <c r="BG143" s="67"/>
      <c r="BH143" s="67"/>
    </row>
    <row r="144" spans="1:60" x14ac:dyDescent="0.3">
      <c r="A144" s="67"/>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K144" s="67"/>
      <c r="AL144" s="67"/>
      <c r="AM144" s="67"/>
      <c r="AN144" s="67"/>
      <c r="AO144" s="67"/>
      <c r="AP144" s="67"/>
      <c r="AQ144" s="67"/>
      <c r="AR144" s="67"/>
      <c r="AS144" s="67"/>
      <c r="AT144" s="67"/>
      <c r="AU144" s="67"/>
      <c r="AV144" s="67"/>
      <c r="AW144" s="67"/>
      <c r="AX144" s="67"/>
      <c r="AY144" s="67"/>
      <c r="AZ144" s="67"/>
      <c r="BA144" s="67"/>
      <c r="BB144" s="67"/>
      <c r="BC144" s="67"/>
      <c r="BD144" s="67"/>
      <c r="BE144" s="67"/>
      <c r="BF144" s="67"/>
      <c r="BG144" s="67"/>
      <c r="BH144" s="67"/>
    </row>
    <row r="145" spans="1:60" x14ac:dyDescent="0.3">
      <c r="A145" s="67"/>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K145" s="67"/>
      <c r="AL145" s="67"/>
      <c r="AM145" s="67"/>
      <c r="AN145" s="67"/>
      <c r="AO145" s="67"/>
      <c r="AP145" s="67"/>
      <c r="AQ145" s="67"/>
      <c r="AR145" s="67"/>
      <c r="AS145" s="67"/>
      <c r="AT145" s="67"/>
      <c r="AU145" s="67"/>
      <c r="AV145" s="67"/>
      <c r="AW145" s="67"/>
      <c r="AX145" s="67"/>
      <c r="AY145" s="67"/>
      <c r="AZ145" s="67"/>
      <c r="BA145" s="67"/>
      <c r="BB145" s="67"/>
      <c r="BC145" s="67"/>
      <c r="BD145" s="67"/>
      <c r="BE145" s="67"/>
      <c r="BF145" s="67"/>
      <c r="BG145" s="67"/>
      <c r="BH145" s="67"/>
    </row>
    <row r="146" spans="1:60" x14ac:dyDescent="0.3">
      <c r="A146" s="67"/>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c r="AP146" s="67"/>
      <c r="AQ146" s="67"/>
      <c r="AR146" s="67"/>
      <c r="AS146" s="67"/>
      <c r="AT146" s="67"/>
      <c r="AU146" s="67"/>
      <c r="AV146" s="67"/>
      <c r="AW146" s="67"/>
      <c r="AX146" s="67"/>
      <c r="AY146" s="67"/>
      <c r="AZ146" s="67"/>
      <c r="BA146" s="67"/>
      <c r="BB146" s="67"/>
      <c r="BC146" s="67"/>
      <c r="BD146" s="67"/>
      <c r="BE146" s="67"/>
      <c r="BF146" s="67"/>
      <c r="BG146" s="67"/>
      <c r="BH146" s="67"/>
    </row>
    <row r="147" spans="1:60" x14ac:dyDescent="0.3">
      <c r="A147" s="67"/>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7"/>
      <c r="AK147" s="67"/>
      <c r="AL147" s="67"/>
      <c r="AM147" s="67"/>
      <c r="AN147" s="67"/>
      <c r="AO147" s="67"/>
      <c r="AP147" s="67"/>
      <c r="AQ147" s="67"/>
      <c r="AR147" s="67"/>
      <c r="AS147" s="67"/>
      <c r="AT147" s="67"/>
      <c r="AU147" s="67"/>
      <c r="AV147" s="67"/>
      <c r="AW147" s="67"/>
      <c r="AX147" s="67"/>
      <c r="AY147" s="67"/>
      <c r="AZ147" s="67"/>
      <c r="BA147" s="67"/>
      <c r="BB147" s="67"/>
      <c r="BC147" s="67"/>
      <c r="BD147" s="67"/>
      <c r="BE147" s="67"/>
      <c r="BF147" s="67"/>
      <c r="BG147" s="67"/>
      <c r="BH147" s="67"/>
    </row>
    <row r="148" spans="1:60" x14ac:dyDescent="0.3">
      <c r="A148" s="67"/>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7"/>
      <c r="AK148" s="67"/>
      <c r="AL148" s="67"/>
      <c r="AM148" s="67"/>
      <c r="AN148" s="67"/>
      <c r="AO148" s="67"/>
      <c r="AP148" s="67"/>
      <c r="AQ148" s="67"/>
      <c r="AR148" s="67"/>
      <c r="AS148" s="67"/>
      <c r="AT148" s="67"/>
      <c r="AU148" s="67"/>
      <c r="AV148" s="67"/>
      <c r="AW148" s="67"/>
      <c r="AX148" s="67"/>
      <c r="AY148" s="67"/>
      <c r="AZ148" s="67"/>
      <c r="BA148" s="67"/>
      <c r="BB148" s="67"/>
      <c r="BC148" s="67"/>
      <c r="BD148" s="67"/>
      <c r="BE148" s="67"/>
      <c r="BF148" s="67"/>
      <c r="BG148" s="67"/>
      <c r="BH148" s="67"/>
    </row>
    <row r="149" spans="1:60" x14ac:dyDescent="0.3">
      <c r="A149" s="67"/>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K149" s="67"/>
      <c r="AL149" s="67"/>
      <c r="AM149" s="67"/>
      <c r="AN149" s="67"/>
      <c r="AO149" s="67"/>
      <c r="AP149" s="67"/>
      <c r="AQ149" s="67"/>
      <c r="AR149" s="67"/>
      <c r="AS149" s="67"/>
      <c r="AT149" s="67"/>
      <c r="AU149" s="67"/>
      <c r="AV149" s="67"/>
      <c r="AW149" s="67"/>
      <c r="AX149" s="67"/>
      <c r="AY149" s="67"/>
      <c r="AZ149" s="67"/>
      <c r="BA149" s="67"/>
      <c r="BB149" s="67"/>
      <c r="BC149" s="67"/>
      <c r="BD149" s="67"/>
      <c r="BE149" s="67"/>
      <c r="BF149" s="67"/>
      <c r="BG149" s="67"/>
      <c r="BH149" s="67"/>
    </row>
    <row r="150" spans="1:60" x14ac:dyDescent="0.3">
      <c r="A150" s="67"/>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7"/>
      <c r="AK150" s="67"/>
      <c r="AL150" s="67"/>
      <c r="AM150" s="67"/>
      <c r="AN150" s="67"/>
      <c r="AO150" s="67"/>
      <c r="AP150" s="67"/>
      <c r="AQ150" s="67"/>
      <c r="AR150" s="67"/>
      <c r="AS150" s="67"/>
      <c r="AT150" s="67"/>
      <c r="AU150" s="67"/>
      <c r="AV150" s="67"/>
      <c r="AW150" s="67"/>
      <c r="AX150" s="67"/>
      <c r="AY150" s="67"/>
      <c r="AZ150" s="67"/>
      <c r="BA150" s="67"/>
      <c r="BB150" s="67"/>
      <c r="BC150" s="67"/>
      <c r="BD150" s="67"/>
      <c r="BE150" s="67"/>
      <c r="BF150" s="67"/>
      <c r="BG150" s="67"/>
      <c r="BH150" s="67"/>
    </row>
    <row r="151" spans="1:60" x14ac:dyDescent="0.3">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J151" s="67"/>
      <c r="AK151" s="67"/>
      <c r="AL151" s="67"/>
      <c r="AM151" s="67"/>
      <c r="AN151" s="67"/>
      <c r="AO151" s="67"/>
      <c r="AP151" s="67"/>
      <c r="AQ151" s="67"/>
      <c r="AR151" s="67"/>
      <c r="AS151" s="67"/>
      <c r="AT151" s="67"/>
      <c r="AU151" s="67"/>
      <c r="AV151" s="67"/>
      <c r="AW151" s="67"/>
      <c r="AX151" s="67"/>
      <c r="AY151" s="67"/>
      <c r="AZ151" s="67"/>
      <c r="BA151" s="67"/>
      <c r="BB151" s="67"/>
      <c r="BC151" s="67"/>
      <c r="BD151" s="67"/>
      <c r="BE151" s="67"/>
      <c r="BF151" s="67"/>
      <c r="BG151" s="67"/>
      <c r="BH151" s="67"/>
    </row>
    <row r="152" spans="1:60" x14ac:dyDescent="0.3">
      <c r="A152" s="67"/>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K152" s="67"/>
      <c r="AL152" s="67"/>
      <c r="AM152" s="67"/>
      <c r="AN152" s="67"/>
      <c r="AO152" s="67"/>
      <c r="AP152" s="67"/>
      <c r="AQ152" s="67"/>
      <c r="AR152" s="67"/>
      <c r="AS152" s="67"/>
      <c r="AT152" s="67"/>
      <c r="AU152" s="67"/>
      <c r="AV152" s="67"/>
      <c r="AW152" s="67"/>
      <c r="AX152" s="67"/>
      <c r="AY152" s="67"/>
      <c r="AZ152" s="67"/>
      <c r="BA152" s="67"/>
      <c r="BB152" s="67"/>
      <c r="BC152" s="67"/>
      <c r="BD152" s="67"/>
      <c r="BE152" s="67"/>
      <c r="BF152" s="67"/>
      <c r="BG152" s="67"/>
      <c r="BH152" s="67"/>
    </row>
    <row r="153" spans="1:60" x14ac:dyDescent="0.3">
      <c r="A153" s="67"/>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K153" s="67"/>
      <c r="AL153" s="67"/>
      <c r="AM153" s="67"/>
      <c r="AN153" s="67"/>
      <c r="AO153" s="67"/>
      <c r="AP153" s="67"/>
      <c r="AQ153" s="67"/>
      <c r="AR153" s="67"/>
      <c r="AS153" s="67"/>
      <c r="AT153" s="67"/>
      <c r="AU153" s="67"/>
      <c r="AV153" s="67"/>
      <c r="AW153" s="67"/>
      <c r="AX153" s="67"/>
      <c r="AY153" s="67"/>
      <c r="AZ153" s="67"/>
      <c r="BA153" s="67"/>
      <c r="BB153" s="67"/>
      <c r="BC153" s="67"/>
      <c r="BD153" s="67"/>
      <c r="BE153" s="67"/>
      <c r="BF153" s="67"/>
      <c r="BG153" s="67"/>
      <c r="BH153" s="67"/>
    </row>
    <row r="154" spans="1:60" x14ac:dyDescent="0.3">
      <c r="A154" s="67"/>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c r="AP154" s="67"/>
      <c r="AQ154" s="67"/>
      <c r="AR154" s="67"/>
      <c r="AS154" s="67"/>
      <c r="AT154" s="67"/>
      <c r="AU154" s="67"/>
      <c r="AV154" s="67"/>
      <c r="AW154" s="67"/>
      <c r="AX154" s="67"/>
      <c r="AY154" s="67"/>
      <c r="AZ154" s="67"/>
      <c r="BA154" s="67"/>
      <c r="BB154" s="67"/>
      <c r="BC154" s="67"/>
      <c r="BD154" s="67"/>
      <c r="BE154" s="67"/>
      <c r="BF154" s="67"/>
      <c r="BG154" s="67"/>
      <c r="BH154" s="67"/>
    </row>
    <row r="155" spans="1:60" x14ac:dyDescent="0.3">
      <c r="A155" s="67"/>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67"/>
      <c r="AL155" s="67"/>
      <c r="AM155" s="67"/>
      <c r="AN155" s="67"/>
      <c r="AO155" s="67"/>
      <c r="AP155" s="67"/>
      <c r="AQ155" s="67"/>
      <c r="AR155" s="67"/>
      <c r="AS155" s="67"/>
      <c r="AT155" s="67"/>
      <c r="AU155" s="67"/>
      <c r="AV155" s="67"/>
      <c r="AW155" s="67"/>
      <c r="AX155" s="67"/>
      <c r="AY155" s="67"/>
      <c r="AZ155" s="67"/>
      <c r="BA155" s="67"/>
      <c r="BB155" s="67"/>
      <c r="BC155" s="67"/>
      <c r="BD155" s="67"/>
      <c r="BE155" s="67"/>
      <c r="BF155" s="67"/>
      <c r="BG155" s="67"/>
      <c r="BH155" s="67"/>
    </row>
    <row r="156" spans="1:60" x14ac:dyDescent="0.3">
      <c r="A156" s="67"/>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7"/>
      <c r="AV156" s="67"/>
      <c r="AW156" s="67"/>
      <c r="AX156" s="67"/>
      <c r="AY156" s="67"/>
      <c r="AZ156" s="67"/>
      <c r="BA156" s="67"/>
      <c r="BB156" s="67"/>
      <c r="BC156" s="67"/>
      <c r="BD156" s="67"/>
      <c r="BE156" s="67"/>
      <c r="BF156" s="67"/>
      <c r="BG156" s="67"/>
      <c r="BH156" s="67"/>
    </row>
    <row r="157" spans="1:60" x14ac:dyDescent="0.3">
      <c r="A157" s="67"/>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7"/>
      <c r="AK157" s="67"/>
      <c r="AL157" s="67"/>
      <c r="AM157" s="67"/>
      <c r="AN157" s="67"/>
      <c r="AO157" s="67"/>
      <c r="AP157" s="67"/>
      <c r="AQ157" s="67"/>
      <c r="AR157" s="67"/>
      <c r="AS157" s="67"/>
      <c r="AT157" s="67"/>
      <c r="AU157" s="67"/>
      <c r="AV157" s="67"/>
      <c r="AW157" s="67"/>
      <c r="AX157" s="67"/>
      <c r="AY157" s="67"/>
      <c r="AZ157" s="67"/>
      <c r="BA157" s="67"/>
      <c r="BB157" s="67"/>
      <c r="BC157" s="67"/>
      <c r="BD157" s="67"/>
      <c r="BE157" s="67"/>
      <c r="BF157" s="67"/>
      <c r="BG157" s="67"/>
      <c r="BH157" s="67"/>
    </row>
    <row r="158" spans="1:60" x14ac:dyDescent="0.3">
      <c r="A158" s="67"/>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K158" s="67"/>
      <c r="AL158" s="67"/>
      <c r="AM158" s="67"/>
      <c r="AN158" s="67"/>
      <c r="AO158" s="67"/>
      <c r="AP158" s="67"/>
      <c r="AQ158" s="67"/>
      <c r="AR158" s="67"/>
      <c r="AS158" s="67"/>
      <c r="AT158" s="67"/>
      <c r="AU158" s="67"/>
      <c r="AV158" s="67"/>
      <c r="AW158" s="67"/>
      <c r="AX158" s="67"/>
      <c r="AY158" s="67"/>
      <c r="AZ158" s="67"/>
      <c r="BA158" s="67"/>
      <c r="BB158" s="67"/>
      <c r="BC158" s="67"/>
      <c r="BD158" s="67"/>
      <c r="BE158" s="67"/>
      <c r="BF158" s="67"/>
      <c r="BG158" s="67"/>
      <c r="BH158" s="67"/>
    </row>
    <row r="159" spans="1:60" x14ac:dyDescent="0.3">
      <c r="A159" s="67"/>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R159" s="67"/>
      <c r="AS159" s="67"/>
      <c r="AT159" s="67"/>
      <c r="AU159" s="67"/>
      <c r="AV159" s="67"/>
      <c r="AW159" s="67"/>
      <c r="AX159" s="67"/>
      <c r="AY159" s="67"/>
      <c r="AZ159" s="67"/>
      <c r="BA159" s="67"/>
      <c r="BB159" s="67"/>
      <c r="BC159" s="67"/>
      <c r="BD159" s="67"/>
      <c r="BE159" s="67"/>
      <c r="BF159" s="67"/>
      <c r="BG159" s="67"/>
      <c r="BH159" s="67"/>
    </row>
    <row r="160" spans="1:60" x14ac:dyDescent="0.3">
      <c r="A160" s="67"/>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7"/>
      <c r="AJ160" s="67"/>
      <c r="AK160" s="67"/>
      <c r="AL160" s="67"/>
      <c r="AM160" s="67"/>
      <c r="AN160" s="67"/>
      <c r="AO160" s="67"/>
      <c r="AP160" s="67"/>
      <c r="AQ160" s="67"/>
      <c r="AR160" s="67"/>
      <c r="AS160" s="67"/>
      <c r="AT160" s="67"/>
      <c r="AU160" s="67"/>
      <c r="AV160" s="67"/>
      <c r="AW160" s="67"/>
      <c r="AX160" s="67"/>
      <c r="AY160" s="67"/>
      <c r="AZ160" s="67"/>
      <c r="BA160" s="67"/>
      <c r="BB160" s="67"/>
      <c r="BC160" s="67"/>
      <c r="BD160" s="67"/>
      <c r="BE160" s="67"/>
      <c r="BF160" s="67"/>
      <c r="BG160" s="67"/>
      <c r="BH160" s="67"/>
    </row>
    <row r="161" spans="1:60" x14ac:dyDescent="0.3">
      <c r="A161" s="67"/>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K161" s="67"/>
      <c r="AL161" s="67"/>
      <c r="AM161" s="67"/>
      <c r="AN161" s="67"/>
      <c r="AO161" s="67"/>
      <c r="AP161" s="67"/>
      <c r="AQ161" s="67"/>
      <c r="AR161" s="67"/>
      <c r="AS161" s="67"/>
      <c r="AT161" s="67"/>
      <c r="AU161" s="67"/>
      <c r="AV161" s="67"/>
      <c r="AW161" s="67"/>
      <c r="AX161" s="67"/>
      <c r="AY161" s="67"/>
      <c r="AZ161" s="67"/>
      <c r="BA161" s="67"/>
      <c r="BB161" s="67"/>
      <c r="BC161" s="67"/>
      <c r="BD161" s="67"/>
      <c r="BE161" s="67"/>
      <c r="BF161" s="67"/>
      <c r="BG161" s="67"/>
      <c r="BH161" s="67"/>
    </row>
    <row r="162" spans="1:60" x14ac:dyDescent="0.3">
      <c r="A162" s="67"/>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c r="AH162" s="67"/>
      <c r="AI162" s="67"/>
      <c r="AJ162" s="67"/>
      <c r="AK162" s="67"/>
      <c r="AL162" s="67"/>
      <c r="AM162" s="67"/>
      <c r="AN162" s="67"/>
      <c r="AO162" s="67"/>
      <c r="AP162" s="67"/>
      <c r="AQ162" s="67"/>
      <c r="AR162" s="67"/>
      <c r="AS162" s="67"/>
      <c r="AT162" s="67"/>
      <c r="AU162" s="67"/>
      <c r="AV162" s="67"/>
      <c r="AW162" s="67"/>
      <c r="AX162" s="67"/>
      <c r="AY162" s="67"/>
      <c r="AZ162" s="67"/>
      <c r="BA162" s="67"/>
      <c r="BB162" s="67"/>
      <c r="BC162" s="67"/>
      <c r="BD162" s="67"/>
      <c r="BE162" s="67"/>
      <c r="BF162" s="67"/>
      <c r="BG162" s="67"/>
      <c r="BH162" s="67"/>
    </row>
    <row r="163" spans="1:60" x14ac:dyDescent="0.3">
      <c r="A163" s="67"/>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67"/>
      <c r="AH163" s="67"/>
      <c r="AI163" s="67"/>
      <c r="AJ163" s="67"/>
      <c r="AK163" s="67"/>
      <c r="AL163" s="67"/>
      <c r="AM163" s="67"/>
      <c r="AN163" s="67"/>
      <c r="AO163" s="67"/>
      <c r="AP163" s="67"/>
      <c r="AQ163" s="67"/>
      <c r="AR163" s="67"/>
      <c r="AS163" s="67"/>
      <c r="AT163" s="67"/>
      <c r="AU163" s="67"/>
      <c r="AV163" s="67"/>
      <c r="AW163" s="67"/>
      <c r="AX163" s="67"/>
      <c r="AY163" s="67"/>
      <c r="AZ163" s="67"/>
      <c r="BA163" s="67"/>
      <c r="BB163" s="67"/>
      <c r="BC163" s="67"/>
      <c r="BD163" s="67"/>
      <c r="BE163" s="67"/>
      <c r="BF163" s="67"/>
      <c r="BG163" s="67"/>
      <c r="BH163" s="67"/>
    </row>
    <row r="164" spans="1:60" x14ac:dyDescent="0.3">
      <c r="A164" s="67"/>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c r="AP164" s="67"/>
      <c r="AQ164" s="67"/>
      <c r="AR164" s="67"/>
      <c r="AS164" s="67"/>
      <c r="AT164" s="67"/>
      <c r="AU164" s="67"/>
      <c r="AV164" s="67"/>
      <c r="AW164" s="67"/>
      <c r="AX164" s="67"/>
      <c r="AY164" s="67"/>
      <c r="AZ164" s="67"/>
      <c r="BA164" s="67"/>
      <c r="BB164" s="67"/>
      <c r="BC164" s="67"/>
      <c r="BD164" s="67"/>
      <c r="BE164" s="67"/>
      <c r="BF164" s="67"/>
      <c r="BG164" s="67"/>
      <c r="BH164" s="67"/>
    </row>
    <row r="165" spans="1:60" x14ac:dyDescent="0.3">
      <c r="A165" s="67"/>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c r="AI165" s="67"/>
      <c r="AJ165" s="67"/>
      <c r="AK165" s="67"/>
      <c r="AL165" s="67"/>
      <c r="AM165" s="67"/>
      <c r="AN165" s="67"/>
      <c r="AO165" s="67"/>
      <c r="AP165" s="67"/>
      <c r="AQ165" s="67"/>
      <c r="AR165" s="67"/>
      <c r="AS165" s="67"/>
      <c r="AT165" s="67"/>
      <c r="AU165" s="67"/>
      <c r="AV165" s="67"/>
      <c r="AW165" s="67"/>
      <c r="AX165" s="67"/>
      <c r="AY165" s="67"/>
      <c r="AZ165" s="67"/>
      <c r="BA165" s="67"/>
      <c r="BB165" s="67"/>
      <c r="BC165" s="67"/>
      <c r="BD165" s="67"/>
      <c r="BE165" s="67"/>
      <c r="BF165" s="67"/>
      <c r="BG165" s="67"/>
      <c r="BH165" s="67"/>
    </row>
    <row r="166" spans="1:60" x14ac:dyDescent="0.3">
      <c r="A166" s="67"/>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K166" s="67"/>
      <c r="AL166" s="67"/>
      <c r="AM166" s="67"/>
      <c r="AN166" s="67"/>
      <c r="AO166" s="67"/>
      <c r="AP166" s="67"/>
      <c r="AQ166" s="67"/>
      <c r="AR166" s="67"/>
      <c r="AS166" s="67"/>
      <c r="AT166" s="67"/>
      <c r="AU166" s="67"/>
      <c r="AV166" s="67"/>
      <c r="AW166" s="67"/>
      <c r="AX166" s="67"/>
      <c r="AY166" s="67"/>
      <c r="AZ166" s="67"/>
      <c r="BA166" s="67"/>
      <c r="BB166" s="67"/>
      <c r="BC166" s="67"/>
      <c r="BD166" s="67"/>
      <c r="BE166" s="67"/>
      <c r="BF166" s="67"/>
      <c r="BG166" s="67"/>
      <c r="BH166" s="67"/>
    </row>
    <row r="167" spans="1:60" x14ac:dyDescent="0.3">
      <c r="A167" s="67"/>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J167" s="67"/>
      <c r="AK167" s="67"/>
      <c r="AL167" s="67"/>
      <c r="AM167" s="67"/>
      <c r="AN167" s="67"/>
      <c r="AO167" s="67"/>
      <c r="AP167" s="67"/>
      <c r="AQ167" s="67"/>
      <c r="AR167" s="67"/>
      <c r="AS167" s="67"/>
      <c r="AT167" s="67"/>
      <c r="AU167" s="67"/>
      <c r="AV167" s="67"/>
      <c r="AW167" s="67"/>
      <c r="AX167" s="67"/>
      <c r="AY167" s="67"/>
      <c r="AZ167" s="67"/>
      <c r="BA167" s="67"/>
      <c r="BB167" s="67"/>
      <c r="BC167" s="67"/>
      <c r="BD167" s="67"/>
      <c r="BE167" s="67"/>
      <c r="BF167" s="67"/>
      <c r="BG167" s="67"/>
      <c r="BH167" s="67"/>
    </row>
    <row r="168" spans="1:60" x14ac:dyDescent="0.3">
      <c r="A168" s="67"/>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c r="AH168" s="67"/>
      <c r="AI168" s="67"/>
      <c r="AJ168" s="67"/>
      <c r="AK168" s="67"/>
      <c r="AL168" s="67"/>
      <c r="AM168" s="67"/>
      <c r="AN168" s="67"/>
      <c r="AO168" s="67"/>
      <c r="AP168" s="67"/>
      <c r="AQ168" s="67"/>
      <c r="AR168" s="67"/>
      <c r="AS168" s="67"/>
      <c r="AT168" s="67"/>
      <c r="AU168" s="67"/>
      <c r="AV168" s="67"/>
      <c r="AW168" s="67"/>
      <c r="AX168" s="67"/>
      <c r="AY168" s="67"/>
      <c r="AZ168" s="67"/>
      <c r="BA168" s="67"/>
      <c r="BB168" s="67"/>
      <c r="BC168" s="67"/>
      <c r="BD168" s="67"/>
      <c r="BE168" s="67"/>
      <c r="BF168" s="67"/>
      <c r="BG168" s="67"/>
      <c r="BH168" s="67"/>
    </row>
    <row r="169" spans="1:60" x14ac:dyDescent="0.3">
      <c r="A169" s="67"/>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J169" s="67"/>
      <c r="AK169" s="67"/>
      <c r="AL169" s="67"/>
      <c r="AM169" s="67"/>
      <c r="AN169" s="67"/>
      <c r="AO169" s="67"/>
      <c r="AP169" s="67"/>
      <c r="AQ169" s="67"/>
      <c r="AR169" s="67"/>
      <c r="AS169" s="67"/>
      <c r="AT169" s="67"/>
      <c r="AU169" s="67"/>
      <c r="AV169" s="67"/>
      <c r="AW169" s="67"/>
      <c r="AX169" s="67"/>
      <c r="AY169" s="67"/>
      <c r="AZ169" s="67"/>
      <c r="BA169" s="67"/>
      <c r="BB169" s="67"/>
      <c r="BC169" s="67"/>
      <c r="BD169" s="67"/>
      <c r="BE169" s="67"/>
      <c r="BF169" s="67"/>
      <c r="BG169" s="67"/>
      <c r="BH169" s="67"/>
    </row>
    <row r="170" spans="1:60" x14ac:dyDescent="0.3">
      <c r="A170" s="67"/>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c r="AP170" s="67"/>
      <c r="AQ170" s="67"/>
      <c r="AR170" s="67"/>
      <c r="AS170" s="67"/>
      <c r="AT170" s="67"/>
      <c r="AU170" s="67"/>
      <c r="AV170" s="67"/>
      <c r="AW170" s="67"/>
      <c r="AX170" s="67"/>
      <c r="AY170" s="67"/>
      <c r="AZ170" s="67"/>
      <c r="BA170" s="67"/>
      <c r="BB170" s="67"/>
      <c r="BC170" s="67"/>
      <c r="BD170" s="67"/>
      <c r="BE170" s="67"/>
      <c r="BF170" s="67"/>
      <c r="BG170" s="67"/>
      <c r="BH170" s="67"/>
    </row>
    <row r="171" spans="1:60" x14ac:dyDescent="0.3">
      <c r="A171" s="67"/>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c r="AP171" s="67"/>
      <c r="AQ171" s="67"/>
      <c r="AR171" s="67"/>
      <c r="AS171" s="67"/>
      <c r="AT171" s="67"/>
      <c r="AU171" s="67"/>
      <c r="AV171" s="67"/>
      <c r="AW171" s="67"/>
      <c r="AX171" s="67"/>
      <c r="AY171" s="67"/>
      <c r="AZ171" s="67"/>
      <c r="BA171" s="67"/>
      <c r="BB171" s="67"/>
      <c r="BC171" s="67"/>
      <c r="BD171" s="67"/>
      <c r="BE171" s="67"/>
      <c r="BF171" s="67"/>
      <c r="BG171" s="67"/>
      <c r="BH171" s="67"/>
    </row>
    <row r="172" spans="1:60" x14ac:dyDescent="0.3">
      <c r="A172" s="67"/>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67"/>
      <c r="AH172" s="67"/>
      <c r="AI172" s="67"/>
      <c r="AJ172" s="67"/>
      <c r="AK172" s="67"/>
      <c r="AL172" s="67"/>
      <c r="AM172" s="67"/>
      <c r="AN172" s="67"/>
      <c r="AO172" s="67"/>
      <c r="AP172" s="67"/>
      <c r="AQ172" s="67"/>
      <c r="AR172" s="67"/>
      <c r="AS172" s="67"/>
      <c r="AT172" s="67"/>
      <c r="AU172" s="67"/>
      <c r="AV172" s="67"/>
      <c r="AW172" s="67"/>
      <c r="AX172" s="67"/>
      <c r="AY172" s="67"/>
      <c r="AZ172" s="67"/>
      <c r="BA172" s="67"/>
      <c r="BB172" s="67"/>
      <c r="BC172" s="67"/>
      <c r="BD172" s="67"/>
      <c r="BE172" s="67"/>
      <c r="BF172" s="67"/>
      <c r="BG172" s="67"/>
      <c r="BH172" s="67"/>
    </row>
    <row r="173" spans="1:60" x14ac:dyDescent="0.3">
      <c r="A173" s="67"/>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67"/>
      <c r="AI173" s="67"/>
      <c r="AJ173" s="67"/>
      <c r="AK173" s="67"/>
      <c r="AL173" s="67"/>
      <c r="AM173" s="67"/>
      <c r="AN173" s="67"/>
      <c r="AO173" s="67"/>
      <c r="AP173" s="67"/>
      <c r="AQ173" s="67"/>
      <c r="AR173" s="67"/>
      <c r="AS173" s="67"/>
      <c r="AT173" s="67"/>
      <c r="AU173" s="67"/>
      <c r="AV173" s="67"/>
      <c r="AW173" s="67"/>
      <c r="AX173" s="67"/>
      <c r="AY173" s="67"/>
      <c r="AZ173" s="67"/>
      <c r="BA173" s="67"/>
      <c r="BB173" s="67"/>
      <c r="BC173" s="67"/>
      <c r="BD173" s="67"/>
      <c r="BE173" s="67"/>
      <c r="BF173" s="67"/>
      <c r="BG173" s="67"/>
      <c r="BH173" s="67"/>
    </row>
    <row r="174" spans="1:60" x14ac:dyDescent="0.3">
      <c r="A174" s="67"/>
      <c r="B174" s="67"/>
      <c r="C174" s="67"/>
      <c r="D174" s="67"/>
      <c r="E174" s="67"/>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c r="AH174" s="67"/>
      <c r="AI174" s="67"/>
      <c r="AJ174" s="67"/>
      <c r="AK174" s="67"/>
      <c r="AL174" s="67"/>
      <c r="AM174" s="67"/>
      <c r="AN174" s="67"/>
      <c r="AO174" s="67"/>
      <c r="AP174" s="67"/>
      <c r="AQ174" s="67"/>
      <c r="AR174" s="67"/>
      <c r="AS174" s="67"/>
      <c r="AT174" s="67"/>
      <c r="AU174" s="67"/>
      <c r="AV174" s="67"/>
      <c r="AW174" s="67"/>
      <c r="AX174" s="67"/>
      <c r="AY174" s="67"/>
      <c r="AZ174" s="67"/>
      <c r="BA174" s="67"/>
      <c r="BB174" s="67"/>
      <c r="BC174" s="67"/>
      <c r="BD174" s="67"/>
      <c r="BE174" s="67"/>
      <c r="BF174" s="67"/>
      <c r="BG174" s="67"/>
      <c r="BH174" s="67"/>
    </row>
    <row r="175" spans="1:60" x14ac:dyDescent="0.3">
      <c r="A175" s="67"/>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c r="AH175" s="67"/>
      <c r="AI175" s="67"/>
      <c r="AJ175" s="67"/>
      <c r="AK175" s="67"/>
      <c r="AL175" s="67"/>
      <c r="AM175" s="67"/>
      <c r="AN175" s="67"/>
      <c r="AO175" s="67"/>
      <c r="AP175" s="67"/>
      <c r="AQ175" s="67"/>
      <c r="AR175" s="67"/>
      <c r="AS175" s="67"/>
      <c r="AT175" s="67"/>
      <c r="AU175" s="67"/>
      <c r="AV175" s="67"/>
      <c r="AW175" s="67"/>
      <c r="AX175" s="67"/>
      <c r="AY175" s="67"/>
      <c r="AZ175" s="67"/>
      <c r="BA175" s="67"/>
      <c r="BB175" s="67"/>
      <c r="BC175" s="67"/>
      <c r="BD175" s="67"/>
      <c r="BE175" s="67"/>
      <c r="BF175" s="67"/>
      <c r="BG175" s="67"/>
      <c r="BH175" s="67"/>
    </row>
    <row r="176" spans="1:60" x14ac:dyDescent="0.3">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67"/>
      <c r="AH176" s="67"/>
      <c r="AI176" s="67"/>
      <c r="AJ176" s="67"/>
      <c r="AK176" s="67"/>
      <c r="AL176" s="67"/>
      <c r="AM176" s="67"/>
      <c r="AN176" s="67"/>
      <c r="AO176" s="67"/>
      <c r="AP176" s="67"/>
      <c r="AQ176" s="67"/>
      <c r="AR176" s="67"/>
      <c r="AS176" s="67"/>
      <c r="AT176" s="67"/>
      <c r="AU176" s="67"/>
      <c r="AV176" s="67"/>
      <c r="AW176" s="67"/>
      <c r="AX176" s="67"/>
      <c r="AY176" s="67"/>
      <c r="AZ176" s="67"/>
      <c r="BA176" s="67"/>
      <c r="BB176" s="67"/>
      <c r="BC176" s="67"/>
      <c r="BD176" s="67"/>
      <c r="BE176" s="67"/>
      <c r="BF176" s="67"/>
      <c r="BG176" s="67"/>
      <c r="BH176" s="67"/>
    </row>
    <row r="177" spans="1:60" x14ac:dyDescent="0.3">
      <c r="A177" s="67"/>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c r="AP177" s="67"/>
      <c r="AQ177" s="67"/>
      <c r="AR177" s="67"/>
      <c r="AS177" s="67"/>
      <c r="AT177" s="67"/>
      <c r="AU177" s="67"/>
      <c r="AV177" s="67"/>
      <c r="AW177" s="67"/>
      <c r="AX177" s="67"/>
      <c r="AY177" s="67"/>
      <c r="AZ177" s="67"/>
      <c r="BA177" s="67"/>
      <c r="BB177" s="67"/>
      <c r="BC177" s="67"/>
      <c r="BD177" s="67"/>
      <c r="BE177" s="67"/>
      <c r="BF177" s="67"/>
      <c r="BG177" s="67"/>
      <c r="BH177" s="67"/>
    </row>
    <row r="178" spans="1:60" x14ac:dyDescent="0.3">
      <c r="A178" s="67"/>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c r="AP178" s="67"/>
      <c r="AQ178" s="67"/>
      <c r="AR178" s="67"/>
      <c r="AS178" s="67"/>
      <c r="AT178" s="67"/>
      <c r="AU178" s="67"/>
      <c r="AV178" s="67"/>
      <c r="AW178" s="67"/>
      <c r="AX178" s="67"/>
      <c r="AY178" s="67"/>
      <c r="AZ178" s="67"/>
      <c r="BA178" s="67"/>
      <c r="BB178" s="67"/>
      <c r="BC178" s="67"/>
      <c r="BD178" s="67"/>
      <c r="BE178" s="67"/>
      <c r="BF178" s="67"/>
      <c r="BG178" s="67"/>
      <c r="BH178" s="67"/>
    </row>
    <row r="179" spans="1:60" x14ac:dyDescent="0.3">
      <c r="A179" s="67"/>
      <c r="B179" s="67"/>
      <c r="C179" s="67"/>
      <c r="D179" s="67"/>
      <c r="E179" s="67"/>
      <c r="F179" s="67"/>
      <c r="G179" s="67"/>
      <c r="H179" s="67"/>
      <c r="I179" s="67"/>
      <c r="J179" s="67"/>
      <c r="K179" s="67"/>
      <c r="L179" s="67"/>
      <c r="M179" s="67"/>
      <c r="N179" s="67"/>
      <c r="O179" s="67"/>
      <c r="P179" s="67"/>
      <c r="Q179" s="67"/>
      <c r="R179" s="67"/>
      <c r="S179" s="67"/>
      <c r="T179" s="67"/>
      <c r="U179" s="67"/>
      <c r="V179" s="67"/>
      <c r="W179" s="67"/>
      <c r="X179" s="67"/>
      <c r="Y179" s="67"/>
      <c r="Z179" s="67"/>
      <c r="AA179" s="67"/>
      <c r="AB179" s="67"/>
      <c r="AC179" s="67"/>
      <c r="AD179" s="67"/>
      <c r="AE179" s="67"/>
      <c r="AF179" s="67"/>
      <c r="AG179" s="67"/>
      <c r="AH179" s="67"/>
      <c r="AI179" s="67"/>
      <c r="AJ179" s="67"/>
      <c r="AK179" s="67"/>
      <c r="AL179" s="67"/>
      <c r="AM179" s="67"/>
      <c r="AN179" s="67"/>
      <c r="AO179" s="67"/>
      <c r="AP179" s="67"/>
      <c r="AQ179" s="67"/>
      <c r="AR179" s="67"/>
      <c r="AS179" s="67"/>
      <c r="AT179" s="67"/>
      <c r="AU179" s="67"/>
      <c r="AV179" s="67"/>
      <c r="AW179" s="67"/>
      <c r="AX179" s="67"/>
      <c r="AY179" s="67"/>
      <c r="AZ179" s="67"/>
      <c r="BA179" s="67"/>
      <c r="BB179" s="67"/>
      <c r="BC179" s="67"/>
      <c r="BD179" s="67"/>
      <c r="BE179" s="67"/>
      <c r="BF179" s="67"/>
      <c r="BG179" s="67"/>
      <c r="BH179" s="67"/>
    </row>
    <row r="180" spans="1:60" x14ac:dyDescent="0.3">
      <c r="A180" s="67"/>
      <c r="B180" s="67"/>
      <c r="C180" s="67"/>
      <c r="D180" s="67"/>
      <c r="E180" s="67"/>
      <c r="F180" s="67"/>
      <c r="G180" s="67"/>
      <c r="H180" s="67"/>
      <c r="I180" s="67"/>
      <c r="J180" s="67"/>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c r="AP180" s="67"/>
      <c r="AQ180" s="67"/>
      <c r="AR180" s="67"/>
      <c r="AS180" s="67"/>
      <c r="AT180" s="67"/>
      <c r="AU180" s="67"/>
      <c r="AV180" s="67"/>
      <c r="AW180" s="67"/>
      <c r="AX180" s="67"/>
      <c r="AY180" s="67"/>
      <c r="AZ180" s="67"/>
      <c r="BA180" s="67"/>
      <c r="BB180" s="67"/>
      <c r="BC180" s="67"/>
      <c r="BD180" s="67"/>
      <c r="BE180" s="67"/>
      <c r="BF180" s="67"/>
      <c r="BG180" s="67"/>
      <c r="BH180" s="67"/>
    </row>
    <row r="181" spans="1:60" x14ac:dyDescent="0.3">
      <c r="A181" s="67"/>
      <c r="B181" s="67"/>
      <c r="C181" s="67"/>
      <c r="D181" s="67"/>
      <c r="E181" s="67"/>
      <c r="F181" s="67"/>
      <c r="G181" s="67"/>
      <c r="H181" s="67"/>
      <c r="I181" s="67"/>
      <c r="J181" s="67"/>
      <c r="K181" s="67"/>
      <c r="L181" s="67"/>
      <c r="M181" s="67"/>
      <c r="N181" s="67"/>
      <c r="O181" s="67"/>
      <c r="P181" s="67"/>
      <c r="Q181" s="67"/>
      <c r="R181" s="67"/>
      <c r="S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c r="AP181" s="67"/>
      <c r="AQ181" s="67"/>
      <c r="AR181" s="67"/>
      <c r="AS181" s="67"/>
      <c r="AT181" s="67"/>
      <c r="AU181" s="67"/>
      <c r="AV181" s="67"/>
      <c r="AW181" s="67"/>
      <c r="AX181" s="67"/>
      <c r="AY181" s="67"/>
      <c r="AZ181" s="67"/>
      <c r="BA181" s="67"/>
      <c r="BB181" s="67"/>
      <c r="BC181" s="67"/>
      <c r="BD181" s="67"/>
      <c r="BE181" s="67"/>
      <c r="BF181" s="67"/>
      <c r="BG181" s="67"/>
      <c r="BH181" s="67"/>
    </row>
    <row r="182" spans="1:60" x14ac:dyDescent="0.3">
      <c r="A182" s="67"/>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c r="AP182" s="67"/>
      <c r="AQ182" s="67"/>
      <c r="AR182" s="67"/>
      <c r="AS182" s="67"/>
      <c r="AT182" s="67"/>
      <c r="AU182" s="67"/>
      <c r="AV182" s="67"/>
      <c r="AW182" s="67"/>
      <c r="AX182" s="67"/>
      <c r="AY182" s="67"/>
      <c r="AZ182" s="67"/>
      <c r="BA182" s="67"/>
      <c r="BB182" s="67"/>
      <c r="BC182" s="67"/>
      <c r="BD182" s="67"/>
      <c r="BE182" s="67"/>
      <c r="BF182" s="67"/>
      <c r="BG182" s="67"/>
      <c r="BH182" s="67"/>
    </row>
    <row r="183" spans="1:60" x14ac:dyDescent="0.3">
      <c r="A183" s="67"/>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7"/>
      <c r="BC183" s="67"/>
      <c r="BD183" s="67"/>
      <c r="BE183" s="67"/>
      <c r="BF183" s="67"/>
      <c r="BG183" s="67"/>
      <c r="BH183" s="67"/>
    </row>
    <row r="184" spans="1:60" x14ac:dyDescent="0.3">
      <c r="A184" s="67"/>
      <c r="B184" s="67"/>
      <c r="C184" s="67"/>
      <c r="D184" s="67"/>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c r="BG184" s="67"/>
      <c r="BH184" s="67"/>
    </row>
    <row r="185" spans="1:60" x14ac:dyDescent="0.3">
      <c r="A185" s="67"/>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c r="AP185" s="67"/>
      <c r="AQ185" s="67"/>
      <c r="AR185" s="67"/>
      <c r="AS185" s="67"/>
      <c r="AT185" s="67"/>
      <c r="AU185" s="67"/>
      <c r="AV185" s="67"/>
      <c r="AW185" s="67"/>
      <c r="AX185" s="67"/>
      <c r="AY185" s="67"/>
      <c r="AZ185" s="67"/>
      <c r="BA185" s="67"/>
      <c r="BB185" s="67"/>
      <c r="BC185" s="67"/>
      <c r="BD185" s="67"/>
      <c r="BE185" s="67"/>
      <c r="BF185" s="67"/>
      <c r="BG185" s="67"/>
      <c r="BH185" s="67"/>
    </row>
    <row r="186" spans="1:60" x14ac:dyDescent="0.3">
      <c r="A186" s="67"/>
      <c r="B186" s="67"/>
      <c r="C186" s="67"/>
      <c r="D186" s="67"/>
      <c r="E186" s="67"/>
      <c r="F186" s="67"/>
      <c r="G186" s="67"/>
      <c r="H186" s="67"/>
      <c r="I186" s="67"/>
      <c r="J186" s="67"/>
      <c r="K186" s="67"/>
      <c r="L186" s="67"/>
      <c r="M186" s="67"/>
      <c r="N186" s="67"/>
      <c r="O186" s="67"/>
      <c r="P186" s="67"/>
      <c r="Q186" s="67"/>
      <c r="R186" s="67"/>
      <c r="S186" s="67"/>
      <c r="T186" s="67"/>
      <c r="U186" s="67"/>
      <c r="V186" s="67"/>
      <c r="W186" s="67"/>
      <c r="X186" s="67"/>
      <c r="Y186" s="67"/>
      <c r="Z186" s="67"/>
      <c r="AA186" s="67"/>
      <c r="AB186" s="67"/>
      <c r="AC186" s="67"/>
      <c r="AD186" s="67"/>
      <c r="AE186" s="67"/>
      <c r="AF186" s="67"/>
      <c r="AG186" s="67"/>
      <c r="AH186" s="67"/>
      <c r="AI186" s="67"/>
      <c r="AJ186" s="67"/>
      <c r="AK186" s="67"/>
      <c r="AL186" s="67"/>
      <c r="AM186" s="67"/>
      <c r="AN186" s="67"/>
      <c r="AO186" s="67"/>
      <c r="AP186" s="67"/>
      <c r="AQ186" s="67"/>
      <c r="AR186" s="67"/>
      <c r="AS186" s="67"/>
      <c r="AT186" s="67"/>
      <c r="AU186" s="67"/>
      <c r="AV186" s="67"/>
      <c r="AW186" s="67"/>
      <c r="AX186" s="67"/>
      <c r="AY186" s="67"/>
      <c r="AZ186" s="67"/>
      <c r="BA186" s="67"/>
      <c r="BB186" s="67"/>
      <c r="BC186" s="67"/>
      <c r="BD186" s="67"/>
      <c r="BE186" s="67"/>
      <c r="BF186" s="67"/>
      <c r="BG186" s="67"/>
      <c r="BH186" s="67"/>
    </row>
    <row r="187" spans="1:60" x14ac:dyDescent="0.3">
      <c r="A187" s="67"/>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c r="AP187" s="67"/>
      <c r="AQ187" s="67"/>
      <c r="AR187" s="67"/>
      <c r="AS187" s="67"/>
      <c r="AT187" s="67"/>
      <c r="AU187" s="67"/>
      <c r="AV187" s="67"/>
      <c r="AW187" s="67"/>
      <c r="AX187" s="67"/>
      <c r="AY187" s="67"/>
      <c r="AZ187" s="67"/>
      <c r="BA187" s="67"/>
      <c r="BB187" s="67"/>
      <c r="BC187" s="67"/>
      <c r="BD187" s="67"/>
      <c r="BE187" s="67"/>
      <c r="BF187" s="67"/>
      <c r="BG187" s="67"/>
      <c r="BH187" s="67"/>
    </row>
    <row r="188" spans="1:60" x14ac:dyDescent="0.3">
      <c r="A188" s="67"/>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c r="AG188" s="67"/>
      <c r="AH188" s="67"/>
      <c r="AI188" s="67"/>
      <c r="AJ188" s="67"/>
      <c r="AK188" s="67"/>
      <c r="AL188" s="67"/>
      <c r="AM188" s="67"/>
      <c r="AN188" s="67"/>
      <c r="AO188" s="67"/>
      <c r="AP188" s="67"/>
      <c r="AQ188" s="67"/>
      <c r="AR188" s="67"/>
      <c r="AS188" s="67"/>
      <c r="AT188" s="67"/>
      <c r="AU188" s="67"/>
      <c r="AV188" s="67"/>
      <c r="AW188" s="67"/>
      <c r="AX188" s="67"/>
      <c r="AY188" s="67"/>
      <c r="AZ188" s="67"/>
      <c r="BA188" s="67"/>
      <c r="BB188" s="67"/>
      <c r="BC188" s="67"/>
      <c r="BD188" s="67"/>
      <c r="BE188" s="67"/>
      <c r="BF188" s="67"/>
      <c r="BG188" s="67"/>
      <c r="BH188" s="67"/>
    </row>
    <row r="189" spans="1:60" x14ac:dyDescent="0.3">
      <c r="A189" s="67"/>
      <c r="B189" s="67"/>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c r="AZ189" s="67"/>
      <c r="BA189" s="67"/>
      <c r="BB189" s="67"/>
      <c r="BC189" s="67"/>
      <c r="BD189" s="67"/>
      <c r="BE189" s="67"/>
      <c r="BF189" s="67"/>
      <c r="BG189" s="67"/>
      <c r="BH189" s="67"/>
    </row>
    <row r="190" spans="1:60" x14ac:dyDescent="0.3">
      <c r="A190" s="67"/>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c r="Z190" s="67"/>
      <c r="AA190" s="67"/>
      <c r="AB190" s="67"/>
      <c r="AC190" s="67"/>
      <c r="AD190" s="67"/>
      <c r="AE190" s="67"/>
      <c r="AF190" s="67"/>
      <c r="AG190" s="67"/>
      <c r="AH190" s="67"/>
      <c r="AI190" s="67"/>
      <c r="AJ190" s="67"/>
      <c r="AK190" s="67"/>
      <c r="AL190" s="67"/>
      <c r="AM190" s="67"/>
      <c r="AN190" s="67"/>
      <c r="AO190" s="67"/>
      <c r="AP190" s="67"/>
      <c r="AQ190" s="67"/>
      <c r="AR190" s="67"/>
      <c r="AS190" s="67"/>
      <c r="AT190" s="67"/>
      <c r="AU190" s="67"/>
      <c r="AV190" s="67"/>
      <c r="AW190" s="67"/>
      <c r="AX190" s="67"/>
      <c r="AY190" s="67"/>
      <c r="AZ190" s="67"/>
      <c r="BA190" s="67"/>
      <c r="BB190" s="67"/>
      <c r="BC190" s="67"/>
      <c r="BD190" s="67"/>
      <c r="BE190" s="67"/>
      <c r="BF190" s="67"/>
      <c r="BG190" s="67"/>
      <c r="BH190" s="67"/>
    </row>
    <row r="191" spans="1:60" x14ac:dyDescent="0.3">
      <c r="A191" s="67"/>
      <c r="J191" s="67"/>
      <c r="K191" s="67"/>
      <c r="L191" s="67"/>
      <c r="M191" s="67"/>
      <c r="N191" s="67"/>
      <c r="O191" s="67"/>
      <c r="P191" s="67"/>
      <c r="Q191" s="67"/>
      <c r="R191" s="67"/>
      <c r="S191" s="67"/>
      <c r="T191" s="67"/>
      <c r="U191" s="67"/>
      <c r="V191" s="67"/>
      <c r="W191" s="67"/>
      <c r="X191" s="67"/>
      <c r="Y191" s="67"/>
      <c r="Z191" s="67"/>
      <c r="AA191" s="67"/>
      <c r="AB191" s="67"/>
      <c r="AC191" s="67"/>
      <c r="AD191" s="67"/>
      <c r="AE191" s="67"/>
      <c r="AF191" s="67"/>
      <c r="AG191" s="67"/>
      <c r="AH191" s="67"/>
      <c r="AI191" s="67"/>
      <c r="AJ191" s="67"/>
      <c r="AK191" s="67"/>
      <c r="AL191" s="67"/>
      <c r="AM191" s="67"/>
      <c r="AN191" s="67"/>
      <c r="AO191" s="67"/>
      <c r="AP191" s="67"/>
      <c r="AQ191" s="67"/>
      <c r="AR191" s="67"/>
      <c r="AS191" s="67"/>
      <c r="AT191" s="67"/>
      <c r="AU191" s="67"/>
      <c r="AV191" s="67"/>
      <c r="AW191" s="67"/>
      <c r="AX191" s="67"/>
      <c r="AY191" s="67"/>
      <c r="AZ191" s="67"/>
      <c r="BA191" s="67"/>
      <c r="BB191" s="67"/>
      <c r="BC191" s="67"/>
      <c r="BD191" s="67"/>
      <c r="BE191" s="67"/>
      <c r="BF191" s="67"/>
      <c r="BG191" s="67"/>
      <c r="BH191" s="67"/>
    </row>
    <row r="192" spans="1:60" x14ac:dyDescent="0.3">
      <c r="A192" s="67"/>
      <c r="J192" s="67"/>
      <c r="K192" s="67"/>
      <c r="L192" s="67"/>
      <c r="M192" s="67"/>
      <c r="N192" s="67"/>
      <c r="O192" s="67"/>
      <c r="P192" s="67"/>
      <c r="Q192" s="67"/>
      <c r="R192" s="67"/>
      <c r="S192" s="67"/>
      <c r="T192" s="67"/>
      <c r="U192" s="67"/>
      <c r="V192" s="67"/>
      <c r="W192" s="67"/>
      <c r="X192" s="67"/>
      <c r="Y192" s="67"/>
      <c r="Z192" s="67"/>
      <c r="AA192" s="67"/>
      <c r="AB192" s="67"/>
      <c r="AC192" s="67"/>
      <c r="AD192" s="67"/>
      <c r="AE192" s="67"/>
      <c r="AF192" s="67"/>
      <c r="AG192" s="67"/>
      <c r="AH192" s="67"/>
      <c r="AI192" s="67"/>
      <c r="AJ192" s="67"/>
      <c r="AK192" s="67"/>
      <c r="AL192" s="67"/>
      <c r="AM192" s="67"/>
      <c r="AN192" s="67"/>
      <c r="AO192" s="67"/>
      <c r="AP192" s="67"/>
      <c r="AQ192" s="67"/>
      <c r="AR192" s="67"/>
      <c r="AS192" s="67"/>
      <c r="AT192" s="67"/>
      <c r="AU192" s="67"/>
      <c r="AV192" s="67"/>
      <c r="AW192" s="67"/>
      <c r="AX192" s="67"/>
      <c r="AY192" s="67"/>
      <c r="AZ192" s="67"/>
      <c r="BA192" s="67"/>
      <c r="BB192" s="67"/>
      <c r="BC192" s="67"/>
      <c r="BD192" s="67"/>
      <c r="BE192" s="67"/>
      <c r="BF192" s="67"/>
      <c r="BG192" s="67"/>
      <c r="BH192" s="67"/>
    </row>
    <row r="193" spans="1:60" x14ac:dyDescent="0.3">
      <c r="A193" s="67"/>
      <c r="J193" s="67"/>
      <c r="K193" s="67"/>
      <c r="L193" s="67"/>
      <c r="M193" s="67"/>
      <c r="N193" s="67"/>
      <c r="O193" s="67"/>
      <c r="P193" s="67"/>
      <c r="Q193" s="67"/>
      <c r="R193" s="67"/>
      <c r="S193" s="67"/>
      <c r="T193" s="67"/>
      <c r="U193" s="67"/>
      <c r="V193" s="67"/>
      <c r="W193" s="67"/>
      <c r="X193" s="67"/>
      <c r="Y193" s="67"/>
      <c r="Z193" s="67"/>
      <c r="AA193" s="67"/>
      <c r="AB193" s="67"/>
      <c r="AC193" s="67"/>
      <c r="AD193" s="67"/>
      <c r="AE193" s="67"/>
      <c r="AF193" s="67"/>
      <c r="AG193" s="67"/>
      <c r="AH193" s="67"/>
      <c r="AI193" s="67"/>
      <c r="AJ193" s="67"/>
      <c r="AK193" s="67"/>
      <c r="AL193" s="67"/>
      <c r="AM193" s="67"/>
      <c r="AN193" s="67"/>
      <c r="AO193" s="67"/>
      <c r="AP193" s="67"/>
      <c r="AQ193" s="67"/>
      <c r="AR193" s="67"/>
      <c r="AS193" s="67"/>
      <c r="AT193" s="67"/>
      <c r="AU193" s="67"/>
      <c r="AV193" s="67"/>
      <c r="AW193" s="67"/>
      <c r="AX193" s="67"/>
      <c r="AY193" s="67"/>
      <c r="AZ193" s="67"/>
      <c r="BA193" s="67"/>
      <c r="BB193" s="67"/>
      <c r="BC193" s="67"/>
      <c r="BD193" s="67"/>
      <c r="BE193" s="67"/>
      <c r="BF193" s="67"/>
      <c r="BG193" s="67"/>
      <c r="BH193" s="67"/>
    </row>
    <row r="194" spans="1:60" x14ac:dyDescent="0.3">
      <c r="A194" s="67"/>
      <c r="J194" s="67"/>
      <c r="K194" s="67"/>
      <c r="L194" s="67"/>
      <c r="M194" s="67"/>
      <c r="N194" s="67"/>
      <c r="O194" s="67"/>
      <c r="P194" s="67"/>
      <c r="Q194" s="67"/>
      <c r="R194" s="67"/>
      <c r="S194" s="67"/>
      <c r="T194" s="67"/>
      <c r="U194" s="67"/>
      <c r="V194" s="67"/>
      <c r="W194" s="67"/>
      <c r="X194" s="67"/>
      <c r="Y194" s="67"/>
      <c r="Z194" s="67"/>
      <c r="AA194" s="67"/>
      <c r="AB194" s="67"/>
      <c r="AC194" s="67"/>
      <c r="AD194" s="67"/>
      <c r="AE194" s="67"/>
      <c r="AF194" s="67"/>
      <c r="AG194" s="67"/>
      <c r="AH194" s="67"/>
      <c r="AI194" s="67"/>
      <c r="AJ194" s="67"/>
      <c r="AK194" s="67"/>
      <c r="AL194" s="67"/>
      <c r="AM194" s="67"/>
      <c r="AN194" s="67"/>
      <c r="AO194" s="67"/>
      <c r="AP194" s="67"/>
      <c r="AQ194" s="67"/>
      <c r="AR194" s="67"/>
      <c r="AS194" s="67"/>
      <c r="AT194" s="67"/>
      <c r="AU194" s="67"/>
      <c r="AV194" s="67"/>
      <c r="AW194" s="67"/>
      <c r="AX194" s="67"/>
      <c r="AY194" s="67"/>
      <c r="AZ194" s="67"/>
      <c r="BA194" s="67"/>
      <c r="BB194" s="67"/>
      <c r="BC194" s="67"/>
      <c r="BD194" s="67"/>
      <c r="BE194" s="67"/>
      <c r="BF194" s="67"/>
      <c r="BG194" s="67"/>
      <c r="BH194" s="67"/>
    </row>
    <row r="195" spans="1:60" x14ac:dyDescent="0.3">
      <c r="A195" s="67"/>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c r="AH195" s="67"/>
      <c r="AI195" s="67"/>
      <c r="AJ195" s="67"/>
      <c r="AK195" s="67"/>
      <c r="AL195" s="67"/>
      <c r="AM195" s="67"/>
      <c r="AN195" s="67"/>
      <c r="AO195" s="67"/>
      <c r="AP195" s="67"/>
      <c r="AQ195" s="67"/>
      <c r="AR195" s="67"/>
      <c r="AS195" s="67"/>
      <c r="AT195" s="67"/>
      <c r="AU195" s="67"/>
      <c r="AV195" s="67"/>
      <c r="AW195" s="67"/>
      <c r="AX195" s="67"/>
      <c r="AY195" s="67"/>
      <c r="AZ195" s="67"/>
      <c r="BA195" s="67"/>
      <c r="BB195" s="67"/>
      <c r="BC195" s="67"/>
      <c r="BD195" s="67"/>
      <c r="BE195" s="67"/>
      <c r="BF195" s="67"/>
      <c r="BG195" s="67"/>
      <c r="BH195" s="67"/>
    </row>
    <row r="196" spans="1:60" x14ac:dyDescent="0.3">
      <c r="A196" s="67"/>
      <c r="J196" s="67"/>
      <c r="K196" s="67"/>
      <c r="L196" s="67"/>
      <c r="M196" s="67"/>
      <c r="N196" s="67"/>
      <c r="O196" s="67"/>
      <c r="P196" s="67"/>
      <c r="Q196" s="67"/>
      <c r="R196" s="67"/>
      <c r="S196" s="67"/>
      <c r="T196" s="67"/>
      <c r="U196" s="67"/>
      <c r="V196" s="67"/>
      <c r="W196" s="67"/>
      <c r="X196" s="67"/>
      <c r="Y196" s="67"/>
      <c r="Z196" s="67"/>
      <c r="AA196" s="67"/>
      <c r="AB196" s="67"/>
      <c r="AC196" s="67"/>
      <c r="AD196" s="67"/>
      <c r="AE196" s="67"/>
      <c r="AF196" s="67"/>
      <c r="AG196" s="67"/>
      <c r="AH196" s="67"/>
      <c r="AI196" s="67"/>
      <c r="AJ196" s="67"/>
      <c r="AK196" s="67"/>
      <c r="AL196" s="67"/>
      <c r="AM196" s="67"/>
      <c r="AN196" s="67"/>
      <c r="AO196" s="67"/>
      <c r="AP196" s="67"/>
      <c r="AQ196" s="67"/>
      <c r="AR196" s="67"/>
      <c r="AS196" s="67"/>
      <c r="AT196" s="67"/>
      <c r="AU196" s="67"/>
      <c r="AV196" s="67"/>
      <c r="AW196" s="67"/>
      <c r="AX196" s="67"/>
      <c r="AY196" s="67"/>
      <c r="AZ196" s="67"/>
      <c r="BA196" s="67"/>
      <c r="BB196" s="67"/>
      <c r="BC196" s="67"/>
      <c r="BD196" s="67"/>
      <c r="BE196" s="67"/>
      <c r="BF196" s="67"/>
      <c r="BG196" s="67"/>
      <c r="BH196" s="67"/>
    </row>
    <row r="197" spans="1:60" x14ac:dyDescent="0.3">
      <c r="A197" s="67"/>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67"/>
      <c r="AH197" s="67"/>
      <c r="AI197" s="67"/>
      <c r="AJ197" s="67"/>
      <c r="AK197" s="67"/>
      <c r="AL197" s="67"/>
      <c r="AM197" s="67"/>
      <c r="AN197" s="67"/>
      <c r="AO197" s="67"/>
      <c r="AP197" s="67"/>
      <c r="AQ197" s="67"/>
      <c r="AR197" s="67"/>
      <c r="AS197" s="67"/>
      <c r="AT197" s="67"/>
      <c r="AU197" s="67"/>
      <c r="AV197" s="67"/>
      <c r="AW197" s="67"/>
      <c r="AX197" s="67"/>
      <c r="AY197" s="67"/>
      <c r="AZ197" s="67"/>
      <c r="BA197" s="67"/>
      <c r="BB197" s="67"/>
      <c r="BC197" s="67"/>
      <c r="BD197" s="67"/>
      <c r="BE197" s="67"/>
      <c r="BF197" s="67"/>
      <c r="BG197" s="67"/>
      <c r="BH197" s="67"/>
    </row>
    <row r="198" spans="1:60" x14ac:dyDescent="0.3">
      <c r="A198" s="67"/>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67"/>
      <c r="AH198" s="67"/>
      <c r="AI198" s="67"/>
      <c r="AJ198" s="67"/>
      <c r="AK198" s="67"/>
      <c r="AL198" s="67"/>
      <c r="AM198" s="67"/>
      <c r="AN198" s="67"/>
      <c r="AO198" s="67"/>
      <c r="AP198" s="67"/>
      <c r="AQ198" s="67"/>
      <c r="AR198" s="67"/>
      <c r="AS198" s="67"/>
      <c r="AT198" s="67"/>
      <c r="AU198" s="67"/>
      <c r="AV198" s="67"/>
      <c r="AW198" s="67"/>
      <c r="AX198" s="67"/>
      <c r="AY198" s="67"/>
      <c r="AZ198" s="67"/>
      <c r="BA198" s="67"/>
      <c r="BB198" s="67"/>
      <c r="BC198" s="67"/>
      <c r="BD198" s="67"/>
      <c r="BE198" s="67"/>
      <c r="BF198" s="67"/>
      <c r="BG198" s="67"/>
      <c r="BH198" s="67"/>
    </row>
    <row r="199" spans="1:60" x14ac:dyDescent="0.3">
      <c r="A199" s="67"/>
      <c r="J199" s="67"/>
      <c r="K199" s="67"/>
      <c r="L199" s="67"/>
      <c r="M199" s="67"/>
      <c r="N199" s="67"/>
      <c r="O199" s="67"/>
      <c r="P199" s="67"/>
      <c r="Q199" s="67"/>
      <c r="R199" s="67"/>
      <c r="S199" s="67"/>
      <c r="T199" s="67"/>
      <c r="U199" s="67"/>
      <c r="V199" s="67"/>
      <c r="W199" s="67"/>
      <c r="X199" s="67"/>
      <c r="Y199" s="67"/>
      <c r="Z199" s="67"/>
      <c r="AA199" s="67"/>
      <c r="AB199" s="67"/>
      <c r="AC199" s="67"/>
      <c r="AD199" s="67"/>
      <c r="AE199" s="67"/>
      <c r="AF199" s="67"/>
      <c r="AG199" s="67"/>
      <c r="AH199" s="67"/>
      <c r="AI199" s="67"/>
      <c r="AJ199" s="67"/>
      <c r="AK199" s="67"/>
      <c r="AL199" s="67"/>
      <c r="AM199" s="67"/>
      <c r="AN199" s="67"/>
      <c r="AO199" s="67"/>
      <c r="AP199" s="67"/>
      <c r="AQ199" s="67"/>
      <c r="AR199" s="67"/>
      <c r="AS199" s="67"/>
      <c r="AT199" s="67"/>
      <c r="AU199" s="67"/>
      <c r="AV199" s="67"/>
      <c r="AW199" s="67"/>
      <c r="AX199" s="67"/>
      <c r="AY199" s="67"/>
      <c r="AZ199" s="67"/>
      <c r="BA199" s="67"/>
      <c r="BB199" s="67"/>
      <c r="BC199" s="67"/>
      <c r="BD199" s="67"/>
      <c r="BE199" s="67"/>
      <c r="BF199" s="67"/>
      <c r="BG199" s="67"/>
      <c r="BH199" s="67"/>
    </row>
    <row r="200" spans="1:60" x14ac:dyDescent="0.3">
      <c r="A200" s="67"/>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c r="AP200" s="67"/>
      <c r="AQ200" s="67"/>
      <c r="AR200" s="67"/>
      <c r="AS200" s="67"/>
      <c r="AT200" s="67"/>
      <c r="AU200" s="67"/>
      <c r="AV200" s="67"/>
      <c r="AW200" s="67"/>
      <c r="AX200" s="67"/>
      <c r="AY200" s="67"/>
      <c r="AZ200" s="67"/>
      <c r="BA200" s="67"/>
      <c r="BB200" s="67"/>
      <c r="BC200" s="67"/>
      <c r="BD200" s="67"/>
      <c r="BE200" s="67"/>
      <c r="BF200" s="67"/>
      <c r="BG200" s="67"/>
      <c r="BH200" s="67"/>
    </row>
    <row r="201" spans="1:60" x14ac:dyDescent="0.3">
      <c r="A201" s="67"/>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67"/>
      <c r="AH201" s="67"/>
      <c r="AI201" s="67"/>
      <c r="AJ201" s="67"/>
      <c r="AK201" s="67"/>
      <c r="AL201" s="67"/>
      <c r="AM201" s="67"/>
      <c r="AN201" s="67"/>
      <c r="AO201" s="67"/>
      <c r="AP201" s="67"/>
      <c r="AQ201" s="67"/>
      <c r="AR201" s="67"/>
      <c r="AS201" s="67"/>
      <c r="AT201" s="67"/>
      <c r="AU201" s="67"/>
      <c r="AV201" s="67"/>
      <c r="AW201" s="67"/>
      <c r="AX201" s="67"/>
      <c r="AY201" s="67"/>
      <c r="AZ201" s="67"/>
      <c r="BA201" s="67"/>
      <c r="BB201" s="67"/>
      <c r="BC201" s="67"/>
      <c r="BD201" s="67"/>
      <c r="BE201" s="67"/>
      <c r="BF201" s="67"/>
      <c r="BG201" s="67"/>
      <c r="BH201" s="67"/>
    </row>
    <row r="202" spans="1:60" x14ac:dyDescent="0.3">
      <c r="A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AS202" s="67"/>
      <c r="AT202" s="67"/>
      <c r="AU202" s="67"/>
      <c r="AV202" s="67"/>
      <c r="AW202" s="67"/>
      <c r="AX202" s="67"/>
      <c r="AY202" s="67"/>
      <c r="AZ202" s="67"/>
      <c r="BA202" s="67"/>
      <c r="BB202" s="67"/>
      <c r="BC202" s="67"/>
      <c r="BD202" s="67"/>
      <c r="BE202" s="67"/>
      <c r="BF202" s="67"/>
      <c r="BG202" s="67"/>
      <c r="BH202" s="67"/>
    </row>
    <row r="203" spans="1:60" x14ac:dyDescent="0.3">
      <c r="A203" s="67"/>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Q203" s="67"/>
      <c r="AR203" s="67"/>
      <c r="AS203" s="67"/>
      <c r="AT203" s="67"/>
      <c r="AU203" s="67"/>
      <c r="AV203" s="67"/>
      <c r="AW203" s="67"/>
      <c r="AX203" s="67"/>
      <c r="AY203" s="67"/>
      <c r="AZ203" s="67"/>
      <c r="BA203" s="67"/>
      <c r="BB203" s="67"/>
      <c r="BC203" s="67"/>
      <c r="BD203" s="67"/>
      <c r="BE203" s="67"/>
      <c r="BF203" s="67"/>
      <c r="BG203" s="67"/>
      <c r="BH203" s="67"/>
    </row>
    <row r="204" spans="1:60" x14ac:dyDescent="0.3">
      <c r="A204" s="67"/>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c r="AP204" s="67"/>
      <c r="AQ204" s="67"/>
      <c r="AR204" s="67"/>
      <c r="AS204" s="67"/>
      <c r="AT204" s="67"/>
      <c r="AU204" s="67"/>
      <c r="AV204" s="67"/>
      <c r="AW204" s="67"/>
      <c r="AX204" s="67"/>
      <c r="AY204" s="67"/>
      <c r="AZ204" s="67"/>
      <c r="BA204" s="67"/>
      <c r="BB204" s="67"/>
      <c r="BC204" s="67"/>
      <c r="BD204" s="67"/>
      <c r="BE204" s="67"/>
      <c r="BF204" s="67"/>
      <c r="BG204" s="67"/>
      <c r="BH204" s="67"/>
    </row>
    <row r="205" spans="1:60" x14ac:dyDescent="0.3">
      <c r="A205" s="67"/>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c r="AP205" s="67"/>
      <c r="AQ205" s="67"/>
      <c r="AR205" s="67"/>
      <c r="AS205" s="67"/>
      <c r="AT205" s="67"/>
      <c r="AU205" s="67"/>
      <c r="AV205" s="67"/>
      <c r="AW205" s="67"/>
      <c r="AX205" s="67"/>
      <c r="AY205" s="67"/>
      <c r="AZ205" s="67"/>
      <c r="BA205" s="67"/>
      <c r="BB205" s="67"/>
      <c r="BC205" s="67"/>
      <c r="BD205" s="67"/>
      <c r="BE205" s="67"/>
      <c r="BF205" s="67"/>
      <c r="BG205" s="67"/>
      <c r="BH205" s="67"/>
    </row>
    <row r="206" spans="1:60" x14ac:dyDescent="0.3">
      <c r="A206" s="67"/>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c r="AP206" s="67"/>
      <c r="AQ206" s="67"/>
      <c r="AR206" s="67"/>
      <c r="AS206" s="67"/>
      <c r="AT206" s="67"/>
      <c r="AU206" s="67"/>
      <c r="AV206" s="67"/>
      <c r="AW206" s="67"/>
      <c r="AX206" s="67"/>
      <c r="AY206" s="67"/>
      <c r="AZ206" s="67"/>
      <c r="BA206" s="67"/>
      <c r="BB206" s="67"/>
      <c r="BC206" s="67"/>
      <c r="BD206" s="67"/>
      <c r="BE206" s="67"/>
      <c r="BF206" s="67"/>
      <c r="BG206" s="67"/>
      <c r="BH206" s="67"/>
    </row>
    <row r="207" spans="1:60" x14ac:dyDescent="0.3">
      <c r="A207" s="67"/>
      <c r="J207" s="67"/>
      <c r="K207" s="67"/>
      <c r="L207" s="67"/>
      <c r="M207" s="67"/>
      <c r="N207" s="67"/>
      <c r="O207" s="67"/>
      <c r="P207" s="67"/>
      <c r="Q207" s="67"/>
      <c r="R207" s="67"/>
      <c r="S207" s="67"/>
      <c r="T207" s="67"/>
      <c r="U207" s="67"/>
      <c r="V207" s="67"/>
      <c r="W207" s="67"/>
      <c r="X207" s="67"/>
      <c r="Y207" s="67"/>
      <c r="Z207" s="67"/>
      <c r="AA207" s="67"/>
      <c r="AB207" s="67"/>
      <c r="AC207" s="67"/>
      <c r="AD207" s="67"/>
      <c r="AE207" s="67"/>
      <c r="AF207" s="67"/>
      <c r="AG207" s="67"/>
      <c r="AH207" s="67"/>
      <c r="AI207" s="67"/>
      <c r="AJ207" s="67"/>
      <c r="AK207" s="67"/>
      <c r="AL207" s="67"/>
      <c r="AM207" s="67"/>
      <c r="AN207" s="67"/>
      <c r="AO207" s="67"/>
      <c r="AP207" s="67"/>
      <c r="AQ207" s="67"/>
      <c r="AR207" s="67"/>
      <c r="AS207" s="67"/>
      <c r="AT207" s="67"/>
      <c r="AU207" s="67"/>
      <c r="AV207" s="67"/>
      <c r="AW207" s="67"/>
      <c r="AX207" s="67"/>
      <c r="AY207" s="67"/>
      <c r="AZ207" s="67"/>
      <c r="BA207" s="67"/>
      <c r="BB207" s="67"/>
      <c r="BC207" s="67"/>
      <c r="BD207" s="67"/>
      <c r="BE207" s="67"/>
      <c r="BF207" s="67"/>
      <c r="BG207" s="67"/>
      <c r="BH207" s="67"/>
    </row>
    <row r="208" spans="1:60" x14ac:dyDescent="0.3">
      <c r="A208" s="67"/>
      <c r="J208" s="67"/>
      <c r="K208" s="67"/>
      <c r="L208" s="67"/>
      <c r="M208" s="67"/>
      <c r="N208" s="67"/>
      <c r="O208" s="67"/>
      <c r="P208" s="67"/>
      <c r="Q208" s="67"/>
      <c r="R208" s="67"/>
      <c r="S208" s="67"/>
      <c r="T208" s="67"/>
      <c r="U208" s="67"/>
      <c r="V208" s="67"/>
      <c r="W208" s="67"/>
      <c r="X208" s="67"/>
      <c r="Y208" s="67"/>
      <c r="Z208" s="67"/>
      <c r="AA208" s="67"/>
      <c r="AB208" s="67"/>
      <c r="AC208" s="67"/>
      <c r="AD208" s="67"/>
      <c r="AE208" s="67"/>
      <c r="AF208" s="67"/>
      <c r="AG208" s="67"/>
      <c r="AH208" s="67"/>
      <c r="AI208" s="67"/>
      <c r="AJ208" s="67"/>
      <c r="AK208" s="67"/>
      <c r="AL208" s="67"/>
      <c r="AM208" s="67"/>
      <c r="AN208" s="67"/>
      <c r="AO208" s="67"/>
      <c r="AP208" s="67"/>
      <c r="AQ208" s="67"/>
      <c r="AR208" s="67"/>
      <c r="AS208" s="67"/>
      <c r="AT208" s="67"/>
      <c r="AU208" s="67"/>
      <c r="AV208" s="67"/>
      <c r="AW208" s="67"/>
      <c r="AX208" s="67"/>
      <c r="AY208" s="67"/>
      <c r="AZ208" s="67"/>
      <c r="BA208" s="67"/>
      <c r="BB208" s="67"/>
      <c r="BC208" s="67"/>
      <c r="BD208" s="67"/>
      <c r="BE208" s="67"/>
      <c r="BF208" s="67"/>
      <c r="BG208" s="67"/>
      <c r="BH208" s="67"/>
    </row>
    <row r="209" spans="1:60" x14ac:dyDescent="0.3">
      <c r="A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c r="AH209" s="67"/>
      <c r="AI209" s="67"/>
      <c r="AJ209" s="67"/>
      <c r="AK209" s="67"/>
      <c r="AL209" s="67"/>
      <c r="AM209" s="67"/>
      <c r="AN209" s="67"/>
      <c r="AO209" s="67"/>
      <c r="AP209" s="67"/>
      <c r="AQ209" s="67"/>
      <c r="AR209" s="67"/>
      <c r="AS209" s="67"/>
      <c r="AT209" s="67"/>
      <c r="AU209" s="67"/>
      <c r="AV209" s="67"/>
      <c r="AW209" s="67"/>
      <c r="AX209" s="67"/>
      <c r="AY209" s="67"/>
      <c r="AZ209" s="67"/>
      <c r="BA209" s="67"/>
      <c r="BB209" s="67"/>
      <c r="BC209" s="67"/>
      <c r="BD209" s="67"/>
      <c r="BE209" s="67"/>
      <c r="BF209" s="67"/>
      <c r="BG209" s="67"/>
      <c r="BH209" s="67"/>
    </row>
    <row r="210" spans="1:60" x14ac:dyDescent="0.3">
      <c r="A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c r="AH210" s="67"/>
      <c r="AI210" s="67"/>
      <c r="AJ210" s="67"/>
      <c r="AK210" s="67"/>
      <c r="AL210" s="67"/>
      <c r="AM210" s="67"/>
      <c r="AN210" s="67"/>
      <c r="AO210" s="67"/>
      <c r="AP210" s="67"/>
      <c r="AQ210" s="67"/>
      <c r="AR210" s="67"/>
      <c r="AS210" s="67"/>
      <c r="AT210" s="67"/>
      <c r="AU210" s="67"/>
      <c r="AV210" s="67"/>
      <c r="AW210" s="67"/>
      <c r="AX210" s="67"/>
      <c r="AY210" s="67"/>
      <c r="AZ210" s="67"/>
      <c r="BA210" s="67"/>
      <c r="BB210" s="67"/>
      <c r="BC210" s="67"/>
      <c r="BD210" s="67"/>
      <c r="BE210" s="67"/>
      <c r="BF210" s="67"/>
      <c r="BG210" s="67"/>
      <c r="BH210" s="67"/>
    </row>
    <row r="211" spans="1:60" x14ac:dyDescent="0.3">
      <c r="A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I211" s="67"/>
      <c r="AJ211" s="67"/>
      <c r="AK211" s="67"/>
      <c r="AL211" s="67"/>
      <c r="AM211" s="67"/>
      <c r="AN211" s="67"/>
      <c r="AO211" s="67"/>
      <c r="AP211" s="67"/>
      <c r="AQ211" s="67"/>
      <c r="AR211" s="67"/>
      <c r="AS211" s="67"/>
      <c r="AT211" s="67"/>
      <c r="AU211" s="67"/>
      <c r="AV211" s="67"/>
      <c r="AW211" s="67"/>
      <c r="AX211" s="67"/>
      <c r="AY211" s="67"/>
      <c r="AZ211" s="67"/>
      <c r="BA211" s="67"/>
      <c r="BB211" s="67"/>
      <c r="BC211" s="67"/>
      <c r="BD211" s="67"/>
      <c r="BE211" s="67"/>
      <c r="BF211" s="67"/>
      <c r="BG211" s="67"/>
      <c r="BH211" s="67"/>
    </row>
    <row r="212" spans="1:60" x14ac:dyDescent="0.3">
      <c r="A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67"/>
      <c r="AH212" s="67"/>
      <c r="AI212" s="67"/>
      <c r="AJ212" s="67"/>
      <c r="AK212" s="67"/>
      <c r="AL212" s="67"/>
      <c r="AM212" s="67"/>
      <c r="AN212" s="67"/>
      <c r="AO212" s="67"/>
      <c r="AP212" s="67"/>
      <c r="AQ212" s="67"/>
      <c r="AR212" s="67"/>
      <c r="AS212" s="67"/>
      <c r="AT212" s="67"/>
      <c r="AU212" s="67"/>
      <c r="AV212" s="67"/>
      <c r="AW212" s="67"/>
      <c r="AX212" s="67"/>
      <c r="AY212" s="67"/>
      <c r="AZ212" s="67"/>
      <c r="BA212" s="67"/>
      <c r="BB212" s="67"/>
      <c r="BC212" s="67"/>
      <c r="BD212" s="67"/>
      <c r="BE212" s="67"/>
      <c r="BF212" s="67"/>
      <c r="BG212" s="67"/>
      <c r="BH212" s="67"/>
    </row>
    <row r="213" spans="1:60" x14ac:dyDescent="0.3">
      <c r="A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c r="AH213" s="67"/>
      <c r="AI213" s="67"/>
      <c r="AJ213" s="67"/>
      <c r="AK213" s="67"/>
      <c r="AL213" s="67"/>
      <c r="AM213" s="67"/>
      <c r="AN213" s="67"/>
      <c r="AO213" s="67"/>
      <c r="AP213" s="67"/>
      <c r="AQ213" s="67"/>
      <c r="AR213" s="67"/>
      <c r="AS213" s="67"/>
      <c r="AT213" s="67"/>
      <c r="AU213" s="67"/>
      <c r="AV213" s="67"/>
      <c r="AW213" s="67"/>
      <c r="AX213" s="67"/>
      <c r="AY213" s="67"/>
      <c r="AZ213" s="67"/>
      <c r="BA213" s="67"/>
      <c r="BB213" s="67"/>
      <c r="BC213" s="67"/>
      <c r="BD213" s="67"/>
      <c r="BE213" s="67"/>
      <c r="BF213" s="67"/>
      <c r="BG213" s="67"/>
      <c r="BH213" s="67"/>
    </row>
    <row r="214" spans="1:60" x14ac:dyDescent="0.3">
      <c r="A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c r="AH214" s="67"/>
      <c r="AI214" s="67"/>
      <c r="AJ214" s="67"/>
      <c r="AK214" s="67"/>
      <c r="AL214" s="67"/>
      <c r="AM214" s="67"/>
      <c r="AN214" s="67"/>
      <c r="AO214" s="67"/>
      <c r="AP214" s="67"/>
      <c r="AQ214" s="67"/>
      <c r="AR214" s="67"/>
      <c r="AS214" s="67"/>
      <c r="AT214" s="67"/>
      <c r="AU214" s="67"/>
      <c r="AV214" s="67"/>
      <c r="AW214" s="67"/>
      <c r="AX214" s="67"/>
      <c r="AY214" s="67"/>
      <c r="AZ214" s="67"/>
      <c r="BA214" s="67"/>
      <c r="BB214" s="67"/>
      <c r="BC214" s="67"/>
      <c r="BD214" s="67"/>
      <c r="BE214" s="67"/>
      <c r="BF214" s="67"/>
      <c r="BG214" s="67"/>
      <c r="BH214" s="67"/>
    </row>
    <row r="215" spans="1:60" x14ac:dyDescent="0.3">
      <c r="A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c r="AH215" s="67"/>
      <c r="AI215" s="67"/>
      <c r="AJ215" s="67"/>
      <c r="AK215" s="67"/>
      <c r="AL215" s="67"/>
      <c r="AM215" s="67"/>
      <c r="AN215" s="67"/>
      <c r="AO215" s="67"/>
      <c r="AP215" s="67"/>
      <c r="AQ215" s="67"/>
      <c r="AR215" s="67"/>
      <c r="AS215" s="67"/>
      <c r="AT215" s="67"/>
      <c r="AU215" s="67"/>
      <c r="AV215" s="67"/>
      <c r="AW215" s="67"/>
      <c r="AX215" s="67"/>
      <c r="AY215" s="67"/>
      <c r="AZ215" s="67"/>
      <c r="BA215" s="67"/>
      <c r="BB215" s="67"/>
      <c r="BC215" s="67"/>
      <c r="BD215" s="67"/>
      <c r="BE215" s="67"/>
      <c r="BF215" s="67"/>
      <c r="BG215" s="67"/>
      <c r="BH215" s="67"/>
    </row>
    <row r="216" spans="1:60" x14ac:dyDescent="0.3">
      <c r="A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c r="AH216" s="67"/>
      <c r="AI216" s="67"/>
      <c r="AJ216" s="67"/>
      <c r="AK216" s="67"/>
      <c r="AL216" s="67"/>
      <c r="AM216" s="67"/>
      <c r="AN216" s="67"/>
      <c r="AO216" s="67"/>
      <c r="AP216" s="67"/>
      <c r="AQ216" s="67"/>
      <c r="AR216" s="67"/>
      <c r="AS216" s="67"/>
      <c r="AT216" s="67"/>
      <c r="AU216" s="67"/>
      <c r="AV216" s="67"/>
      <c r="AW216" s="67"/>
      <c r="AX216" s="67"/>
      <c r="AY216" s="67"/>
      <c r="AZ216" s="67"/>
      <c r="BA216" s="67"/>
      <c r="BB216" s="67"/>
      <c r="BC216" s="67"/>
      <c r="BD216" s="67"/>
      <c r="BE216" s="67"/>
      <c r="BF216" s="67"/>
      <c r="BG216" s="67"/>
      <c r="BH216" s="67"/>
    </row>
    <row r="217" spans="1:60" x14ac:dyDescent="0.3">
      <c r="A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c r="AH217" s="67"/>
      <c r="AI217" s="67"/>
      <c r="AJ217" s="67"/>
      <c r="AK217" s="67"/>
      <c r="AL217" s="67"/>
      <c r="AM217" s="67"/>
      <c r="AN217" s="67"/>
      <c r="AO217" s="67"/>
      <c r="AP217" s="67"/>
      <c r="AQ217" s="67"/>
      <c r="AR217" s="67"/>
      <c r="AS217" s="67"/>
      <c r="AT217" s="67"/>
      <c r="AU217" s="67"/>
      <c r="AV217" s="67"/>
      <c r="AW217" s="67"/>
      <c r="AX217" s="67"/>
      <c r="AY217" s="67"/>
      <c r="AZ217" s="67"/>
      <c r="BA217" s="67"/>
      <c r="BB217" s="67"/>
      <c r="BC217" s="67"/>
      <c r="BD217" s="67"/>
      <c r="BE217" s="67"/>
      <c r="BF217" s="67"/>
      <c r="BG217" s="67"/>
      <c r="BH217" s="67"/>
    </row>
    <row r="218" spans="1:60" x14ac:dyDescent="0.3">
      <c r="A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c r="AH218" s="67"/>
      <c r="AI218" s="67"/>
      <c r="AJ218" s="67"/>
      <c r="AK218" s="67"/>
      <c r="AL218" s="67"/>
      <c r="AM218" s="67"/>
      <c r="AN218" s="67"/>
      <c r="AO218" s="67"/>
      <c r="AP218" s="67"/>
      <c r="AQ218" s="67"/>
      <c r="AR218" s="67"/>
      <c r="AS218" s="67"/>
      <c r="AT218" s="67"/>
      <c r="AU218" s="67"/>
      <c r="AV218" s="67"/>
      <c r="AW218" s="67"/>
      <c r="AX218" s="67"/>
      <c r="AY218" s="67"/>
      <c r="AZ218" s="67"/>
      <c r="BA218" s="67"/>
      <c r="BB218" s="67"/>
      <c r="BC218" s="67"/>
      <c r="BD218" s="67"/>
      <c r="BE218" s="67"/>
      <c r="BF218" s="67"/>
      <c r="BG218" s="67"/>
      <c r="BH218" s="67"/>
    </row>
    <row r="219" spans="1:60" x14ac:dyDescent="0.3">
      <c r="A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c r="AH219" s="67"/>
      <c r="AI219" s="67"/>
      <c r="AJ219" s="67"/>
      <c r="AK219" s="67"/>
      <c r="AL219" s="67"/>
      <c r="AM219" s="67"/>
      <c r="AN219" s="67"/>
      <c r="AO219" s="67"/>
      <c r="AP219" s="67"/>
      <c r="AQ219" s="67"/>
      <c r="AR219" s="67"/>
      <c r="AS219" s="67"/>
      <c r="AT219" s="67"/>
      <c r="AU219" s="67"/>
      <c r="AV219" s="67"/>
      <c r="AW219" s="67"/>
      <c r="AX219" s="67"/>
      <c r="AY219" s="67"/>
      <c r="AZ219" s="67"/>
      <c r="BA219" s="67"/>
      <c r="BB219" s="67"/>
      <c r="BC219" s="67"/>
      <c r="BD219" s="67"/>
      <c r="BE219" s="67"/>
      <c r="BF219" s="67"/>
      <c r="BG219" s="67"/>
      <c r="BH219" s="67"/>
    </row>
    <row r="220" spans="1:60" x14ac:dyDescent="0.3">
      <c r="A220" s="67"/>
      <c r="J220" s="67"/>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67"/>
      <c r="AH220" s="67"/>
      <c r="AI220" s="67"/>
      <c r="AJ220" s="67"/>
      <c r="AK220" s="67"/>
      <c r="AL220" s="67"/>
      <c r="AM220" s="67"/>
      <c r="AN220" s="67"/>
      <c r="AO220" s="67"/>
      <c r="AP220" s="67"/>
      <c r="AQ220" s="67"/>
      <c r="AR220" s="67"/>
      <c r="AS220" s="67"/>
      <c r="AT220" s="67"/>
      <c r="AU220" s="67"/>
      <c r="AV220" s="67"/>
      <c r="AW220" s="67"/>
      <c r="AX220" s="67"/>
      <c r="AY220" s="67"/>
      <c r="AZ220" s="67"/>
      <c r="BA220" s="67"/>
      <c r="BB220" s="67"/>
      <c r="BC220" s="67"/>
      <c r="BD220" s="67"/>
      <c r="BE220" s="67"/>
      <c r="BF220" s="67"/>
      <c r="BG220" s="67"/>
      <c r="BH220" s="67"/>
    </row>
    <row r="221" spans="1:60" x14ac:dyDescent="0.3">
      <c r="A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K221" s="67"/>
      <c r="AL221" s="67"/>
      <c r="AM221" s="67"/>
      <c r="AN221" s="67"/>
      <c r="AO221" s="67"/>
      <c r="AP221" s="67"/>
      <c r="AQ221" s="67"/>
      <c r="AR221" s="67"/>
      <c r="AS221" s="67"/>
      <c r="AT221" s="67"/>
      <c r="AU221" s="67"/>
      <c r="AV221" s="67"/>
      <c r="AW221" s="67"/>
      <c r="AX221" s="67"/>
      <c r="AY221" s="67"/>
      <c r="AZ221" s="67"/>
      <c r="BA221" s="67"/>
      <c r="BB221" s="67"/>
      <c r="BC221" s="67"/>
      <c r="BD221" s="67"/>
      <c r="BE221" s="67"/>
      <c r="BF221" s="67"/>
      <c r="BG221" s="67"/>
      <c r="BH221" s="67"/>
    </row>
    <row r="222" spans="1:60" x14ac:dyDescent="0.3">
      <c r="A222" s="67"/>
      <c r="J222" s="67"/>
      <c r="K222" s="67"/>
      <c r="L222" s="67"/>
      <c r="M222" s="67"/>
      <c r="N222" s="67"/>
      <c r="O222" s="67"/>
      <c r="P222" s="67"/>
      <c r="Q222" s="67"/>
      <c r="R222" s="67"/>
      <c r="S222" s="67"/>
      <c r="T222" s="67"/>
      <c r="U222" s="67"/>
      <c r="V222" s="67"/>
      <c r="W222" s="67"/>
      <c r="X222" s="67"/>
      <c r="Y222" s="67"/>
      <c r="Z222" s="67"/>
      <c r="AA222" s="67"/>
      <c r="AB222" s="67"/>
      <c r="AC222" s="67"/>
      <c r="AD222" s="67"/>
      <c r="AE222" s="67"/>
      <c r="AF222" s="67"/>
      <c r="AG222" s="67"/>
      <c r="AH222" s="67"/>
      <c r="AI222" s="67"/>
      <c r="AJ222" s="67"/>
      <c r="AK222" s="67"/>
      <c r="AL222" s="67"/>
      <c r="AM222" s="67"/>
      <c r="AN222" s="67"/>
      <c r="AO222" s="67"/>
      <c r="AP222" s="67"/>
      <c r="AQ222" s="67"/>
      <c r="AR222" s="67"/>
      <c r="AS222" s="67"/>
      <c r="AT222" s="67"/>
      <c r="AU222" s="67"/>
      <c r="AV222" s="67"/>
      <c r="AW222" s="67"/>
      <c r="AX222" s="67"/>
      <c r="AY222" s="67"/>
      <c r="AZ222" s="67"/>
      <c r="BA222" s="67"/>
      <c r="BB222" s="67"/>
      <c r="BC222" s="67"/>
      <c r="BD222" s="67"/>
      <c r="BE222" s="67"/>
      <c r="BF222" s="67"/>
      <c r="BG222" s="67"/>
      <c r="BH222" s="67"/>
    </row>
    <row r="223" spans="1:60" x14ac:dyDescent="0.3">
      <c r="A223" s="67"/>
      <c r="J223" s="67"/>
      <c r="K223" s="67"/>
      <c r="L223" s="67"/>
      <c r="M223" s="67"/>
      <c r="N223" s="67"/>
      <c r="O223" s="67"/>
      <c r="P223" s="67"/>
      <c r="Q223" s="67"/>
      <c r="R223" s="67"/>
      <c r="S223" s="67"/>
      <c r="T223" s="67"/>
      <c r="U223" s="67"/>
      <c r="V223" s="67"/>
      <c r="W223" s="67"/>
      <c r="X223" s="67"/>
      <c r="Y223" s="67"/>
      <c r="Z223" s="67"/>
      <c r="AA223" s="67"/>
      <c r="AB223" s="67"/>
      <c r="AC223" s="67"/>
      <c r="AD223" s="67"/>
      <c r="AE223" s="67"/>
      <c r="AF223" s="67"/>
      <c r="AG223" s="67"/>
      <c r="AH223" s="67"/>
      <c r="AI223" s="67"/>
      <c r="AJ223" s="67"/>
      <c r="AK223" s="67"/>
      <c r="AL223" s="67"/>
      <c r="AM223" s="67"/>
      <c r="AN223" s="67"/>
      <c r="AO223" s="67"/>
      <c r="AP223" s="67"/>
      <c r="AQ223" s="67"/>
      <c r="AR223" s="67"/>
      <c r="AS223" s="67"/>
      <c r="AT223" s="67"/>
      <c r="AU223" s="67"/>
      <c r="AV223" s="67"/>
      <c r="AW223" s="67"/>
      <c r="AX223" s="67"/>
      <c r="AY223" s="67"/>
      <c r="AZ223" s="67"/>
      <c r="BA223" s="67"/>
      <c r="BB223" s="67"/>
      <c r="BC223" s="67"/>
      <c r="BD223" s="67"/>
      <c r="BE223" s="67"/>
      <c r="BF223" s="67"/>
      <c r="BG223" s="67"/>
      <c r="BH223" s="67"/>
    </row>
    <row r="224" spans="1:60" x14ac:dyDescent="0.3">
      <c r="A224" s="67"/>
      <c r="J224" s="67"/>
      <c r="K224" s="67"/>
      <c r="L224" s="67"/>
      <c r="M224" s="67"/>
      <c r="N224" s="67"/>
      <c r="O224" s="67"/>
      <c r="P224" s="67"/>
      <c r="Q224" s="67"/>
      <c r="R224" s="67"/>
      <c r="S224" s="67"/>
      <c r="T224" s="67"/>
      <c r="U224" s="67"/>
      <c r="V224" s="67"/>
      <c r="W224" s="67"/>
      <c r="X224" s="67"/>
      <c r="Y224" s="67"/>
      <c r="Z224" s="67"/>
      <c r="AA224" s="67"/>
      <c r="AB224" s="67"/>
      <c r="AC224" s="67"/>
      <c r="AD224" s="67"/>
      <c r="AE224" s="67"/>
      <c r="AF224" s="67"/>
      <c r="AG224" s="67"/>
      <c r="AH224" s="67"/>
      <c r="AI224" s="67"/>
      <c r="AJ224" s="67"/>
      <c r="AK224" s="67"/>
      <c r="AL224" s="67"/>
      <c r="AM224" s="67"/>
      <c r="AN224" s="67"/>
      <c r="AO224" s="67"/>
      <c r="AP224" s="67"/>
      <c r="AQ224" s="67"/>
      <c r="AR224" s="67"/>
      <c r="AS224" s="67"/>
      <c r="AT224" s="67"/>
      <c r="AU224" s="67"/>
      <c r="AV224" s="67"/>
      <c r="AW224" s="67"/>
      <c r="AX224" s="67"/>
      <c r="AY224" s="67"/>
      <c r="AZ224" s="67"/>
      <c r="BA224" s="67"/>
      <c r="BB224" s="67"/>
      <c r="BC224" s="67"/>
      <c r="BD224" s="67"/>
      <c r="BE224" s="67"/>
      <c r="BF224" s="67"/>
      <c r="BG224" s="67"/>
      <c r="BH224" s="67"/>
    </row>
    <row r="225" spans="1:60" x14ac:dyDescent="0.3">
      <c r="A225" s="67"/>
      <c r="J225" s="67"/>
      <c r="K225" s="67"/>
      <c r="L225" s="67"/>
      <c r="M225" s="67"/>
      <c r="N225" s="67"/>
      <c r="O225" s="67"/>
      <c r="P225" s="67"/>
      <c r="Q225" s="67"/>
      <c r="R225" s="67"/>
      <c r="S225" s="67"/>
      <c r="T225" s="67"/>
      <c r="U225" s="67"/>
      <c r="V225" s="67"/>
      <c r="W225" s="67"/>
      <c r="X225" s="67"/>
      <c r="Y225" s="67"/>
      <c r="Z225" s="67"/>
      <c r="AA225" s="67"/>
      <c r="AB225" s="67"/>
      <c r="AC225" s="67"/>
      <c r="AD225" s="67"/>
      <c r="AE225" s="67"/>
      <c r="AF225" s="67"/>
      <c r="AG225" s="67"/>
      <c r="AH225" s="67"/>
      <c r="AI225" s="67"/>
      <c r="AJ225" s="67"/>
      <c r="AK225" s="67"/>
      <c r="AL225" s="67"/>
      <c r="AM225" s="67"/>
      <c r="AN225" s="67"/>
      <c r="AO225" s="67"/>
      <c r="AP225" s="67"/>
      <c r="AQ225" s="67"/>
      <c r="AR225" s="67"/>
      <c r="AS225" s="67"/>
      <c r="AT225" s="67"/>
      <c r="AU225" s="67"/>
      <c r="AV225" s="67"/>
      <c r="AW225" s="67"/>
      <c r="AX225" s="67"/>
      <c r="AY225" s="67"/>
      <c r="AZ225" s="67"/>
      <c r="BA225" s="67"/>
      <c r="BB225" s="67"/>
      <c r="BC225" s="67"/>
      <c r="BD225" s="67"/>
      <c r="BE225" s="67"/>
      <c r="BF225" s="67"/>
      <c r="BG225" s="67"/>
      <c r="BH225" s="67"/>
    </row>
    <row r="226" spans="1:60" x14ac:dyDescent="0.3">
      <c r="A226" s="67"/>
      <c r="J226" s="67"/>
      <c r="K226" s="67"/>
      <c r="L226" s="67"/>
      <c r="M226" s="67"/>
      <c r="N226" s="67"/>
      <c r="O226" s="67"/>
      <c r="P226" s="67"/>
      <c r="Q226" s="67"/>
      <c r="R226" s="67"/>
      <c r="S226" s="67"/>
      <c r="T226" s="67"/>
      <c r="U226" s="67"/>
      <c r="V226" s="67"/>
      <c r="W226" s="67"/>
      <c r="X226" s="67"/>
      <c r="Y226" s="67"/>
      <c r="Z226" s="67"/>
      <c r="AA226" s="67"/>
      <c r="AB226" s="67"/>
      <c r="AC226" s="67"/>
      <c r="AD226" s="67"/>
      <c r="AE226" s="67"/>
      <c r="AF226" s="67"/>
      <c r="AG226" s="67"/>
      <c r="AH226" s="67"/>
      <c r="AI226" s="67"/>
      <c r="AJ226" s="67"/>
      <c r="AK226" s="67"/>
      <c r="AL226" s="67"/>
      <c r="AM226" s="67"/>
      <c r="AN226" s="67"/>
      <c r="AO226" s="67"/>
      <c r="AP226" s="67"/>
      <c r="AQ226" s="67"/>
      <c r="AR226" s="67"/>
      <c r="AS226" s="67"/>
      <c r="AT226" s="67"/>
      <c r="AU226" s="67"/>
      <c r="AV226" s="67"/>
      <c r="AW226" s="67"/>
      <c r="AX226" s="67"/>
      <c r="AY226" s="67"/>
      <c r="AZ226" s="67"/>
      <c r="BA226" s="67"/>
      <c r="BB226" s="67"/>
      <c r="BC226" s="67"/>
      <c r="BD226" s="67"/>
      <c r="BE226" s="67"/>
      <c r="BF226" s="67"/>
      <c r="BG226" s="67"/>
      <c r="BH226" s="67"/>
    </row>
    <row r="227" spans="1:60" x14ac:dyDescent="0.3">
      <c r="A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c r="AL227" s="67"/>
      <c r="AM227" s="67"/>
      <c r="AN227" s="67"/>
      <c r="AO227" s="67"/>
      <c r="AP227" s="67"/>
      <c r="AQ227" s="67"/>
      <c r="AR227" s="67"/>
      <c r="AS227" s="67"/>
      <c r="AT227" s="67"/>
      <c r="AU227" s="67"/>
      <c r="AV227" s="67"/>
      <c r="AW227" s="67"/>
      <c r="AX227" s="67"/>
      <c r="AY227" s="67"/>
      <c r="AZ227" s="67"/>
      <c r="BA227" s="67"/>
      <c r="BB227" s="67"/>
      <c r="BC227" s="67"/>
      <c r="BD227" s="67"/>
      <c r="BE227" s="67"/>
      <c r="BF227" s="67"/>
      <c r="BG227" s="67"/>
      <c r="BH227" s="67"/>
    </row>
    <row r="228" spans="1:60" x14ac:dyDescent="0.3">
      <c r="A228" s="67"/>
      <c r="J228" s="67"/>
      <c r="K228" s="67"/>
      <c r="L228" s="67"/>
      <c r="M228" s="67"/>
      <c r="N228" s="67"/>
      <c r="O228" s="67"/>
      <c r="P228" s="67"/>
      <c r="Q228" s="67"/>
      <c r="R228" s="67"/>
      <c r="S228" s="67"/>
      <c r="T228" s="67"/>
      <c r="U228" s="67"/>
      <c r="V228" s="67"/>
      <c r="W228" s="67"/>
      <c r="X228" s="67"/>
      <c r="Y228" s="67"/>
      <c r="Z228" s="67"/>
      <c r="AA228" s="67"/>
      <c r="AB228" s="67"/>
      <c r="AC228" s="67"/>
      <c r="AD228" s="67"/>
      <c r="AE228" s="67"/>
      <c r="AF228" s="67"/>
      <c r="AG228" s="67"/>
      <c r="AH228" s="67"/>
      <c r="AI228" s="67"/>
      <c r="AJ228" s="67"/>
      <c r="AK228" s="67"/>
      <c r="AL228" s="67"/>
      <c r="AM228" s="67"/>
      <c r="AN228" s="67"/>
      <c r="AO228" s="67"/>
      <c r="AP228" s="67"/>
      <c r="AQ228" s="67"/>
      <c r="AR228" s="67"/>
      <c r="AS228" s="67"/>
      <c r="AT228" s="67"/>
      <c r="AU228" s="67"/>
      <c r="AV228" s="67"/>
      <c r="AW228" s="67"/>
      <c r="AX228" s="67"/>
      <c r="AY228" s="67"/>
      <c r="AZ228" s="67"/>
      <c r="BA228" s="67"/>
      <c r="BB228" s="67"/>
      <c r="BC228" s="67"/>
      <c r="BD228" s="67"/>
      <c r="BE228" s="67"/>
      <c r="BF228" s="67"/>
      <c r="BG228" s="67"/>
      <c r="BH228" s="67"/>
    </row>
    <row r="229" spans="1:60" x14ac:dyDescent="0.3">
      <c r="A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c r="AH229" s="67"/>
      <c r="AI229" s="67"/>
      <c r="AJ229" s="67"/>
      <c r="AK229" s="67"/>
      <c r="AL229" s="67"/>
      <c r="AM229" s="67"/>
      <c r="AN229" s="67"/>
      <c r="AO229" s="67"/>
      <c r="AP229" s="67"/>
      <c r="AQ229" s="67"/>
      <c r="AR229" s="67"/>
      <c r="AS229" s="67"/>
      <c r="AT229" s="67"/>
      <c r="AU229" s="67"/>
      <c r="AV229" s="67"/>
      <c r="AW229" s="67"/>
      <c r="AX229" s="67"/>
      <c r="AY229" s="67"/>
      <c r="AZ229" s="67"/>
      <c r="BA229" s="67"/>
      <c r="BB229" s="67"/>
      <c r="BC229" s="67"/>
      <c r="BD229" s="67"/>
      <c r="BE229" s="67"/>
      <c r="BF229" s="67"/>
      <c r="BG229" s="67"/>
      <c r="BH229" s="67"/>
    </row>
    <row r="230" spans="1:60" x14ac:dyDescent="0.3">
      <c r="A230" s="67"/>
      <c r="J230" s="67"/>
      <c r="K230" s="67"/>
      <c r="L230" s="67"/>
      <c r="M230" s="67"/>
      <c r="N230" s="67"/>
      <c r="O230" s="67"/>
      <c r="P230" s="67"/>
      <c r="Q230" s="67"/>
      <c r="R230" s="67"/>
      <c r="S230" s="67"/>
      <c r="T230" s="67"/>
      <c r="U230" s="67"/>
      <c r="V230" s="67"/>
      <c r="W230" s="67"/>
      <c r="X230" s="67"/>
      <c r="Y230" s="67"/>
      <c r="Z230" s="67"/>
      <c r="AA230" s="67"/>
      <c r="AB230" s="67"/>
      <c r="AC230" s="67"/>
      <c r="AD230" s="67"/>
      <c r="AE230" s="67"/>
      <c r="AF230" s="67"/>
      <c r="AG230" s="67"/>
      <c r="AH230" s="67"/>
      <c r="AI230" s="67"/>
      <c r="AJ230" s="67"/>
      <c r="AK230" s="67"/>
      <c r="AL230" s="67"/>
      <c r="AM230" s="67"/>
      <c r="AN230" s="67"/>
      <c r="AO230" s="67"/>
      <c r="AP230" s="67"/>
      <c r="AQ230" s="67"/>
      <c r="AR230" s="67"/>
      <c r="AS230" s="67"/>
      <c r="AT230" s="67"/>
      <c r="AU230" s="67"/>
      <c r="AV230" s="67"/>
      <c r="AW230" s="67"/>
      <c r="AX230" s="67"/>
      <c r="AY230" s="67"/>
      <c r="AZ230" s="67"/>
      <c r="BA230" s="67"/>
      <c r="BB230" s="67"/>
      <c r="BC230" s="67"/>
      <c r="BD230" s="67"/>
      <c r="BE230" s="67"/>
      <c r="BF230" s="67"/>
      <c r="BG230" s="67"/>
      <c r="BH230" s="67"/>
    </row>
    <row r="231" spans="1:60" x14ac:dyDescent="0.3">
      <c r="A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67"/>
      <c r="AH231" s="67"/>
      <c r="AI231" s="67"/>
      <c r="AJ231" s="67"/>
      <c r="AK231" s="67"/>
      <c r="AL231" s="67"/>
      <c r="AM231" s="67"/>
      <c r="AN231" s="67"/>
      <c r="AO231" s="67"/>
      <c r="AP231" s="67"/>
      <c r="AQ231" s="67"/>
      <c r="AR231" s="67"/>
      <c r="AS231" s="67"/>
      <c r="AT231" s="67"/>
      <c r="AU231" s="67"/>
      <c r="AV231" s="67"/>
      <c r="AW231" s="67"/>
      <c r="AX231" s="67"/>
      <c r="AY231" s="67"/>
      <c r="AZ231" s="67"/>
      <c r="BA231" s="67"/>
      <c r="BB231" s="67"/>
      <c r="BC231" s="67"/>
      <c r="BD231" s="67"/>
      <c r="BE231" s="67"/>
      <c r="BF231" s="67"/>
      <c r="BG231" s="67"/>
      <c r="BH231" s="67"/>
    </row>
    <row r="232" spans="1:60" x14ac:dyDescent="0.3">
      <c r="A232" s="67"/>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c r="AG232" s="67"/>
      <c r="AH232" s="67"/>
      <c r="AI232" s="67"/>
      <c r="AJ232" s="67"/>
      <c r="AK232" s="67"/>
      <c r="AL232" s="67"/>
      <c r="AM232" s="67"/>
      <c r="AN232" s="67"/>
      <c r="AO232" s="67"/>
      <c r="AP232" s="67"/>
      <c r="AQ232" s="67"/>
      <c r="AR232" s="67"/>
      <c r="AS232" s="67"/>
      <c r="AT232" s="67"/>
      <c r="AU232" s="67"/>
      <c r="AV232" s="67"/>
      <c r="AW232" s="67"/>
      <c r="AX232" s="67"/>
      <c r="AY232" s="67"/>
      <c r="AZ232" s="67"/>
      <c r="BA232" s="67"/>
      <c r="BB232" s="67"/>
      <c r="BC232" s="67"/>
      <c r="BD232" s="67"/>
      <c r="BE232" s="67"/>
      <c r="BF232" s="67"/>
      <c r="BG232" s="67"/>
      <c r="BH232" s="67"/>
    </row>
    <row r="233" spans="1:60" x14ac:dyDescent="0.3">
      <c r="A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c r="AH233" s="67"/>
      <c r="AI233" s="67"/>
      <c r="AJ233" s="67"/>
      <c r="AK233" s="67"/>
      <c r="AL233" s="67"/>
      <c r="AM233" s="67"/>
      <c r="AN233" s="67"/>
      <c r="AO233" s="67"/>
      <c r="AP233" s="67"/>
      <c r="AQ233" s="67"/>
      <c r="AR233" s="67"/>
      <c r="AS233" s="67"/>
      <c r="AT233" s="67"/>
      <c r="AU233" s="67"/>
      <c r="AV233" s="67"/>
      <c r="AW233" s="67"/>
      <c r="AX233" s="67"/>
      <c r="AY233" s="67"/>
      <c r="AZ233" s="67"/>
      <c r="BA233" s="67"/>
      <c r="BB233" s="67"/>
      <c r="BC233" s="67"/>
      <c r="BD233" s="67"/>
      <c r="BE233" s="67"/>
      <c r="BF233" s="67"/>
      <c r="BG233" s="67"/>
      <c r="BH233" s="67"/>
    </row>
    <row r="234" spans="1:60" x14ac:dyDescent="0.3">
      <c r="A234" s="67"/>
      <c r="J234" s="67"/>
      <c r="K234" s="67"/>
      <c r="L234" s="67"/>
      <c r="M234" s="67"/>
      <c r="N234" s="67"/>
      <c r="O234" s="67"/>
      <c r="P234" s="67"/>
      <c r="Q234" s="67"/>
      <c r="R234" s="67"/>
      <c r="S234" s="67"/>
      <c r="T234" s="67"/>
      <c r="U234" s="67"/>
      <c r="V234" s="67"/>
      <c r="W234" s="67"/>
      <c r="X234" s="67"/>
      <c r="Y234" s="67"/>
      <c r="Z234" s="67"/>
      <c r="AA234" s="67"/>
      <c r="AB234" s="67"/>
      <c r="AC234" s="67"/>
      <c r="AD234" s="67"/>
      <c r="AE234" s="67"/>
      <c r="AF234" s="67"/>
      <c r="AG234" s="67"/>
      <c r="AH234" s="67"/>
      <c r="AI234" s="67"/>
      <c r="AJ234" s="67"/>
      <c r="AK234" s="67"/>
      <c r="AL234" s="67"/>
      <c r="AM234" s="67"/>
      <c r="AN234" s="67"/>
      <c r="AO234" s="67"/>
      <c r="AP234" s="67"/>
      <c r="AQ234" s="67"/>
      <c r="AR234" s="67"/>
      <c r="AS234" s="67"/>
      <c r="AT234" s="67"/>
      <c r="AU234" s="67"/>
      <c r="AV234" s="67"/>
      <c r="AW234" s="67"/>
      <c r="AX234" s="67"/>
      <c r="AY234" s="67"/>
      <c r="AZ234" s="67"/>
      <c r="BA234" s="67"/>
      <c r="BB234" s="67"/>
      <c r="BC234" s="67"/>
      <c r="BD234" s="67"/>
      <c r="BE234" s="67"/>
      <c r="BF234" s="67"/>
      <c r="BG234" s="67"/>
      <c r="BH234" s="67"/>
    </row>
    <row r="235" spans="1:60" x14ac:dyDescent="0.3">
      <c r="A235" s="67"/>
      <c r="J235" s="67"/>
      <c r="K235" s="67"/>
      <c r="L235" s="67"/>
      <c r="M235" s="67"/>
      <c r="N235" s="67"/>
      <c r="O235" s="67"/>
      <c r="P235" s="67"/>
      <c r="Q235" s="67"/>
      <c r="R235" s="67"/>
      <c r="S235" s="67"/>
      <c r="T235" s="67"/>
      <c r="U235" s="67"/>
      <c r="V235" s="67"/>
      <c r="W235" s="67"/>
      <c r="X235" s="67"/>
      <c r="Y235" s="67"/>
      <c r="Z235" s="67"/>
      <c r="AA235" s="67"/>
      <c r="AB235" s="67"/>
      <c r="AC235" s="67"/>
      <c r="AD235" s="67"/>
      <c r="AE235" s="67"/>
      <c r="AF235" s="67"/>
      <c r="AG235" s="67"/>
      <c r="AH235" s="67"/>
      <c r="AI235" s="67"/>
      <c r="AJ235" s="67"/>
      <c r="AK235" s="67"/>
      <c r="AL235" s="67"/>
      <c r="AM235" s="67"/>
      <c r="AN235" s="67"/>
      <c r="AO235" s="67"/>
      <c r="AP235" s="67"/>
      <c r="AQ235" s="67"/>
      <c r="AR235" s="67"/>
      <c r="AS235" s="67"/>
      <c r="AT235" s="67"/>
      <c r="AU235" s="67"/>
      <c r="AV235" s="67"/>
      <c r="AW235" s="67"/>
      <c r="AX235" s="67"/>
      <c r="AY235" s="67"/>
      <c r="AZ235" s="67"/>
      <c r="BA235" s="67"/>
      <c r="BB235" s="67"/>
      <c r="BC235" s="67"/>
      <c r="BD235" s="67"/>
      <c r="BE235" s="67"/>
      <c r="BF235" s="67"/>
      <c r="BG235" s="67"/>
      <c r="BH235" s="67"/>
    </row>
    <row r="236" spans="1:60" x14ac:dyDescent="0.3">
      <c r="A236" s="67"/>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c r="AG236" s="67"/>
      <c r="AH236" s="67"/>
      <c r="AI236" s="67"/>
      <c r="AJ236" s="67"/>
      <c r="AK236" s="67"/>
      <c r="AL236" s="67"/>
      <c r="AM236" s="67"/>
      <c r="AN236" s="67"/>
      <c r="AO236" s="67"/>
      <c r="AP236" s="67"/>
      <c r="AQ236" s="67"/>
      <c r="AR236" s="67"/>
      <c r="AS236" s="67"/>
      <c r="AT236" s="67"/>
      <c r="AU236" s="67"/>
      <c r="AV236" s="67"/>
      <c r="AW236" s="67"/>
      <c r="AX236" s="67"/>
      <c r="AY236" s="67"/>
      <c r="AZ236" s="67"/>
      <c r="BA236" s="67"/>
      <c r="BB236" s="67"/>
      <c r="BC236" s="67"/>
      <c r="BD236" s="67"/>
      <c r="BE236" s="67"/>
      <c r="BF236" s="67"/>
      <c r="BG236" s="67"/>
      <c r="BH236" s="67"/>
    </row>
    <row r="237" spans="1:60" x14ac:dyDescent="0.3">
      <c r="A237" s="67"/>
      <c r="J237" s="67"/>
      <c r="K237" s="67"/>
      <c r="L237" s="67"/>
      <c r="M237" s="67"/>
      <c r="N237" s="67"/>
      <c r="O237" s="67"/>
      <c r="P237" s="67"/>
      <c r="Q237" s="67"/>
      <c r="R237" s="67"/>
      <c r="S237" s="67"/>
      <c r="T237" s="67"/>
      <c r="U237" s="67"/>
      <c r="V237" s="67"/>
      <c r="W237" s="67"/>
      <c r="X237" s="67"/>
      <c r="Y237" s="67"/>
      <c r="Z237" s="67"/>
      <c r="AA237" s="67"/>
      <c r="AB237" s="67"/>
      <c r="AC237" s="67"/>
      <c r="AD237" s="67"/>
      <c r="AE237" s="67"/>
      <c r="AF237" s="67"/>
      <c r="AG237" s="67"/>
      <c r="AH237" s="67"/>
      <c r="AI237" s="67"/>
      <c r="AJ237" s="67"/>
      <c r="AK237" s="67"/>
      <c r="AL237" s="67"/>
      <c r="AM237" s="67"/>
      <c r="AN237" s="67"/>
      <c r="AO237" s="67"/>
      <c r="AP237" s="67"/>
      <c r="AQ237" s="67"/>
      <c r="AR237" s="67"/>
      <c r="AS237" s="67"/>
      <c r="AT237" s="67"/>
      <c r="AU237" s="67"/>
      <c r="AV237" s="67"/>
      <c r="AW237" s="67"/>
      <c r="AX237" s="67"/>
      <c r="AY237" s="67"/>
      <c r="AZ237" s="67"/>
      <c r="BA237" s="67"/>
      <c r="BB237" s="67"/>
      <c r="BC237" s="67"/>
      <c r="BD237" s="67"/>
      <c r="BE237" s="67"/>
      <c r="BF237" s="67"/>
      <c r="BG237" s="67"/>
      <c r="BH237" s="67"/>
    </row>
    <row r="238" spans="1:60" x14ac:dyDescent="0.3">
      <c r="A238" s="67"/>
      <c r="J238" s="67"/>
      <c r="K238" s="67"/>
      <c r="L238" s="67"/>
      <c r="M238" s="67"/>
      <c r="N238" s="67"/>
      <c r="O238" s="67"/>
      <c r="P238" s="67"/>
      <c r="Q238" s="67"/>
      <c r="R238" s="67"/>
      <c r="S238" s="67"/>
      <c r="T238" s="67"/>
      <c r="U238" s="67"/>
      <c r="V238" s="67"/>
      <c r="W238" s="67"/>
      <c r="X238" s="67"/>
      <c r="Y238" s="67"/>
      <c r="Z238" s="67"/>
      <c r="AA238" s="67"/>
      <c r="AB238" s="67"/>
      <c r="AC238" s="67"/>
      <c r="AD238" s="67"/>
      <c r="AE238" s="67"/>
      <c r="AF238" s="67"/>
      <c r="AG238" s="67"/>
      <c r="AH238" s="67"/>
      <c r="AI238" s="67"/>
      <c r="AJ238" s="67"/>
      <c r="AK238" s="67"/>
      <c r="AL238" s="67"/>
      <c r="AM238" s="67"/>
      <c r="AN238" s="67"/>
      <c r="AO238" s="67"/>
      <c r="AP238" s="67"/>
      <c r="AQ238" s="67"/>
      <c r="AR238" s="67"/>
      <c r="AS238" s="67"/>
      <c r="AT238" s="67"/>
      <c r="AU238" s="67"/>
      <c r="AV238" s="67"/>
      <c r="AW238" s="67"/>
      <c r="AX238" s="67"/>
      <c r="AY238" s="67"/>
      <c r="AZ238" s="67"/>
      <c r="BA238" s="67"/>
      <c r="BB238" s="67"/>
      <c r="BC238" s="67"/>
      <c r="BD238" s="67"/>
      <c r="BE238" s="67"/>
      <c r="BF238" s="67"/>
      <c r="BG238" s="67"/>
      <c r="BH238" s="67"/>
    </row>
    <row r="239" spans="1:60" x14ac:dyDescent="0.3">
      <c r="A239" s="67"/>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c r="AH239" s="67"/>
      <c r="AI239" s="67"/>
      <c r="AJ239" s="67"/>
      <c r="AK239" s="67"/>
      <c r="AL239" s="67"/>
      <c r="AM239" s="67"/>
      <c r="AN239" s="67"/>
      <c r="AO239" s="67"/>
      <c r="AP239" s="67"/>
      <c r="AQ239" s="67"/>
      <c r="AR239" s="67"/>
      <c r="AS239" s="67"/>
      <c r="AT239" s="67"/>
      <c r="AU239" s="67"/>
      <c r="AV239" s="67"/>
      <c r="AW239" s="67"/>
      <c r="AX239" s="67"/>
      <c r="AY239" s="67"/>
      <c r="AZ239" s="67"/>
      <c r="BA239" s="67"/>
      <c r="BB239" s="67"/>
      <c r="BC239" s="67"/>
      <c r="BD239" s="67"/>
      <c r="BE239" s="67"/>
      <c r="BF239" s="67"/>
      <c r="BG239" s="67"/>
      <c r="BH239" s="67"/>
    </row>
    <row r="240" spans="1:60" x14ac:dyDescent="0.3">
      <c r="A240" s="67"/>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c r="AH240" s="67"/>
      <c r="AI240" s="67"/>
      <c r="AJ240" s="67"/>
      <c r="AK240" s="67"/>
      <c r="AL240" s="67"/>
      <c r="AM240" s="67"/>
      <c r="AN240" s="67"/>
      <c r="AO240" s="67"/>
      <c r="AP240" s="67"/>
      <c r="AQ240" s="67"/>
      <c r="AR240" s="67"/>
      <c r="AS240" s="67"/>
      <c r="AT240" s="67"/>
      <c r="AU240" s="67"/>
      <c r="AV240" s="67"/>
      <c r="AW240" s="67"/>
      <c r="AX240" s="67"/>
      <c r="AY240" s="67"/>
      <c r="AZ240" s="67"/>
      <c r="BA240" s="67"/>
      <c r="BB240" s="67"/>
      <c r="BC240" s="67"/>
      <c r="BD240" s="67"/>
      <c r="BE240" s="67"/>
      <c r="BF240" s="67"/>
      <c r="BG240" s="67"/>
      <c r="BH240" s="67"/>
    </row>
    <row r="241" spans="1:60" x14ac:dyDescent="0.3">
      <c r="A241" s="67"/>
      <c r="J241" s="67"/>
      <c r="K241" s="67"/>
      <c r="L241" s="67"/>
      <c r="M241" s="67"/>
      <c r="N241" s="67"/>
      <c r="O241" s="67"/>
      <c r="P241" s="67"/>
      <c r="Q241" s="67"/>
      <c r="R241" s="67"/>
      <c r="S241" s="67"/>
      <c r="T241" s="67"/>
      <c r="U241" s="67"/>
      <c r="V241" s="67"/>
      <c r="W241" s="67"/>
      <c r="X241" s="67"/>
      <c r="Y241" s="67"/>
      <c r="Z241" s="67"/>
      <c r="AA241" s="67"/>
      <c r="AB241" s="67"/>
      <c r="AC241" s="67"/>
      <c r="AD241" s="67"/>
      <c r="AE241" s="67"/>
      <c r="AF241" s="67"/>
      <c r="AG241" s="67"/>
      <c r="AH241" s="67"/>
      <c r="AI241" s="67"/>
      <c r="AJ241" s="67"/>
      <c r="AK241" s="67"/>
      <c r="AL241" s="67"/>
      <c r="AM241" s="67"/>
      <c r="AN241" s="67"/>
      <c r="AO241" s="67"/>
      <c r="AP241" s="67"/>
      <c r="AQ241" s="67"/>
      <c r="AR241" s="67"/>
      <c r="AS241" s="67"/>
      <c r="AT241" s="67"/>
      <c r="AU241" s="67"/>
      <c r="AV241" s="67"/>
      <c r="AW241" s="67"/>
      <c r="AX241" s="67"/>
      <c r="AY241" s="67"/>
      <c r="AZ241" s="67"/>
      <c r="BA241" s="67"/>
      <c r="BB241" s="67"/>
      <c r="BC241" s="67"/>
      <c r="BD241" s="67"/>
      <c r="BE241" s="67"/>
      <c r="BF241" s="67"/>
      <c r="BG241" s="67"/>
      <c r="BH241" s="67"/>
    </row>
    <row r="242" spans="1:60" x14ac:dyDescent="0.3">
      <c r="A242" s="67"/>
      <c r="J242" s="67"/>
      <c r="K242" s="67"/>
      <c r="L242" s="67"/>
      <c r="M242" s="67"/>
      <c r="N242" s="67"/>
      <c r="O242" s="67"/>
      <c r="P242" s="67"/>
      <c r="Q242" s="67"/>
      <c r="R242" s="67"/>
      <c r="S242" s="67"/>
      <c r="T242" s="67"/>
      <c r="U242" s="67"/>
      <c r="V242" s="67"/>
      <c r="W242" s="67"/>
      <c r="X242" s="67"/>
      <c r="Y242" s="67"/>
      <c r="Z242" s="67"/>
      <c r="AA242" s="67"/>
      <c r="AB242" s="67"/>
      <c r="AC242" s="67"/>
      <c r="AD242" s="67"/>
      <c r="AE242" s="67"/>
      <c r="AF242" s="67"/>
      <c r="AG242" s="67"/>
      <c r="AH242" s="67"/>
      <c r="AI242" s="67"/>
      <c r="AJ242" s="67"/>
      <c r="AK242" s="67"/>
      <c r="AL242" s="67"/>
      <c r="AM242" s="67"/>
      <c r="AN242" s="67"/>
      <c r="AO242" s="67"/>
      <c r="AP242" s="67"/>
      <c r="AQ242" s="67"/>
      <c r="AR242" s="67"/>
      <c r="AS242" s="67"/>
      <c r="AT242" s="67"/>
      <c r="AU242" s="67"/>
      <c r="AV242" s="67"/>
      <c r="AW242" s="67"/>
      <c r="AX242" s="67"/>
      <c r="AY242" s="67"/>
      <c r="AZ242" s="67"/>
      <c r="BA242" s="67"/>
      <c r="BB242" s="67"/>
      <c r="BC242" s="67"/>
      <c r="BD242" s="67"/>
      <c r="BE242" s="67"/>
      <c r="BF242" s="67"/>
      <c r="BG242" s="67"/>
      <c r="BH242" s="67"/>
    </row>
    <row r="243" spans="1:60" x14ac:dyDescent="0.3">
      <c r="A243" s="67"/>
      <c r="J243" s="67"/>
      <c r="K243" s="67"/>
      <c r="L243" s="67"/>
      <c r="M243" s="67"/>
      <c r="N243" s="67"/>
      <c r="O243" s="67"/>
      <c r="P243" s="67"/>
      <c r="Q243" s="67"/>
      <c r="R243" s="67"/>
      <c r="S243" s="67"/>
      <c r="T243" s="67"/>
      <c r="U243" s="67"/>
      <c r="V243" s="67"/>
      <c r="W243" s="67"/>
      <c r="X243" s="67"/>
      <c r="Y243" s="67"/>
      <c r="Z243" s="67"/>
      <c r="AA243" s="67"/>
      <c r="AB243" s="67"/>
      <c r="AC243" s="67"/>
      <c r="AD243" s="67"/>
      <c r="AE243" s="67"/>
      <c r="AF243" s="67"/>
      <c r="AG243" s="67"/>
      <c r="AH243" s="67"/>
      <c r="AI243" s="67"/>
      <c r="AJ243" s="67"/>
      <c r="AK243" s="67"/>
      <c r="AL243" s="67"/>
      <c r="AM243" s="67"/>
      <c r="AN243" s="67"/>
      <c r="AO243" s="67"/>
      <c r="AP243" s="67"/>
      <c r="AQ243" s="67"/>
      <c r="AR243" s="67"/>
      <c r="AS243" s="67"/>
      <c r="AT243" s="67"/>
      <c r="AU243" s="67"/>
      <c r="AV243" s="67"/>
      <c r="AW243" s="67"/>
      <c r="AX243" s="67"/>
      <c r="AY243" s="67"/>
      <c r="AZ243" s="67"/>
      <c r="BA243" s="67"/>
      <c r="BB243" s="67"/>
      <c r="BC243" s="67"/>
      <c r="BD243" s="67"/>
      <c r="BE243" s="67"/>
      <c r="BF243" s="67"/>
      <c r="BG243" s="67"/>
      <c r="BH243" s="67"/>
    </row>
    <row r="244" spans="1:60" x14ac:dyDescent="0.3">
      <c r="A244" s="67"/>
      <c r="J244" s="67"/>
      <c r="K244" s="67"/>
      <c r="L244" s="67"/>
      <c r="M244" s="67"/>
      <c r="N244" s="67"/>
      <c r="O244" s="67"/>
      <c r="P244" s="67"/>
      <c r="Q244" s="67"/>
      <c r="R244" s="67"/>
      <c r="S244" s="67"/>
      <c r="T244" s="67"/>
      <c r="U244" s="67"/>
      <c r="V244" s="67"/>
      <c r="W244" s="67"/>
      <c r="X244" s="67"/>
      <c r="Y244" s="67"/>
      <c r="Z244" s="67"/>
      <c r="AA244" s="67"/>
      <c r="AB244" s="67"/>
      <c r="AC244" s="67"/>
      <c r="AD244" s="67"/>
      <c r="AE244" s="67"/>
      <c r="AF244" s="67"/>
      <c r="AG244" s="67"/>
      <c r="AH244" s="67"/>
      <c r="AI244" s="67"/>
      <c r="AJ244" s="67"/>
      <c r="AK244" s="67"/>
      <c r="AL244" s="67"/>
      <c r="AM244" s="67"/>
      <c r="AN244" s="67"/>
      <c r="AO244" s="67"/>
      <c r="AP244" s="67"/>
      <c r="AQ244" s="67"/>
      <c r="AR244" s="67"/>
      <c r="AS244" s="67"/>
      <c r="AT244" s="67"/>
      <c r="AU244" s="67"/>
      <c r="AV244" s="67"/>
      <c r="AW244" s="67"/>
      <c r="AX244" s="67"/>
      <c r="AY244" s="67"/>
      <c r="AZ244" s="67"/>
      <c r="BA244" s="67"/>
      <c r="BB244" s="67"/>
      <c r="BC244" s="67"/>
      <c r="BD244" s="67"/>
      <c r="BE244" s="67"/>
      <c r="BF244" s="67"/>
      <c r="BG244" s="67"/>
      <c r="BH244" s="67"/>
    </row>
    <row r="245" spans="1:60" x14ac:dyDescent="0.3">
      <c r="A245" s="67"/>
    </row>
    <row r="246" spans="1:60" x14ac:dyDescent="0.3">
      <c r="A246" s="67"/>
    </row>
    <row r="247" spans="1:60" x14ac:dyDescent="0.3">
      <c r="A247" s="67"/>
    </row>
    <row r="248" spans="1:60" x14ac:dyDescent="0.3">
      <c r="A248" s="67"/>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K55"/>
  <sheetViews>
    <sheetView topLeftCell="D1" workbookViewId="0">
      <selection activeCell="D3" sqref="D3"/>
    </sheetView>
  </sheetViews>
  <sheetFormatPr baseColWidth="10" defaultRowHeight="14.4" x14ac:dyDescent="0.3"/>
  <cols>
    <col min="2" max="2" width="24.109375" customWidth="1"/>
    <col min="3" max="3" width="70.109375" customWidth="1"/>
    <col min="4" max="4" width="29.88671875" customWidth="1"/>
  </cols>
  <sheetData>
    <row r="1" spans="1:37" ht="23.4" x14ac:dyDescent="0.3">
      <c r="A1" s="67"/>
      <c r="B1" s="619" t="s">
        <v>55</v>
      </c>
      <c r="C1" s="619"/>
      <c r="D1" s="619"/>
      <c r="E1" s="67"/>
      <c r="F1" s="67"/>
      <c r="G1" s="67"/>
      <c r="H1" s="67"/>
      <c r="I1" s="67"/>
      <c r="J1" s="67"/>
      <c r="K1" s="67"/>
      <c r="L1" s="67"/>
      <c r="M1" s="67"/>
      <c r="N1" s="67"/>
      <c r="O1" s="67"/>
      <c r="P1" s="67"/>
      <c r="Q1" s="67"/>
      <c r="R1" s="67"/>
      <c r="S1" s="67"/>
      <c r="T1" s="67"/>
      <c r="U1" s="67"/>
      <c r="V1" s="67"/>
      <c r="W1" s="67"/>
      <c r="X1" s="67"/>
      <c r="Y1" s="67"/>
      <c r="Z1" s="67"/>
      <c r="AA1" s="67"/>
      <c r="AB1" s="67"/>
      <c r="AC1" s="67"/>
      <c r="AD1" s="67"/>
      <c r="AE1" s="67"/>
    </row>
    <row r="2" spans="1:37" x14ac:dyDescent="0.3">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row>
    <row r="3" spans="1:37" ht="25.2" x14ac:dyDescent="0.3">
      <c r="A3" s="67"/>
      <c r="B3" s="11"/>
      <c r="C3" s="12" t="s">
        <v>52</v>
      </c>
      <c r="D3" s="12" t="s">
        <v>4</v>
      </c>
      <c r="E3" s="67"/>
      <c r="F3" s="67"/>
      <c r="G3" s="67"/>
      <c r="H3" s="67"/>
      <c r="I3" s="67"/>
      <c r="J3" s="67"/>
      <c r="K3" s="67"/>
      <c r="L3" s="67"/>
      <c r="M3" s="67"/>
      <c r="N3" s="67"/>
      <c r="O3" s="67"/>
      <c r="P3" s="67"/>
      <c r="Q3" s="67"/>
      <c r="R3" s="67"/>
      <c r="S3" s="67"/>
      <c r="T3" s="67"/>
      <c r="U3" s="67"/>
      <c r="V3" s="67"/>
      <c r="W3" s="67"/>
      <c r="X3" s="67"/>
      <c r="Y3" s="67"/>
      <c r="Z3" s="67"/>
      <c r="AA3" s="67"/>
      <c r="AB3" s="67"/>
      <c r="AC3" s="67"/>
      <c r="AD3" s="67"/>
      <c r="AE3" s="67"/>
    </row>
    <row r="4" spans="1:37" ht="50.4" x14ac:dyDescent="0.3">
      <c r="A4" s="67"/>
      <c r="B4" s="13" t="s">
        <v>51</v>
      </c>
      <c r="C4" s="14" t="s">
        <v>97</v>
      </c>
      <c r="D4" s="15">
        <v>0.2</v>
      </c>
      <c r="E4" s="67"/>
      <c r="F4" s="67"/>
      <c r="G4" s="67"/>
      <c r="H4" s="67"/>
      <c r="I4" s="67"/>
      <c r="J4" s="67"/>
      <c r="K4" s="67"/>
      <c r="L4" s="67"/>
      <c r="M4" s="67"/>
      <c r="N4" s="67"/>
      <c r="O4" s="67"/>
      <c r="P4" s="67"/>
      <c r="Q4" s="67"/>
      <c r="R4" s="67"/>
      <c r="S4" s="67"/>
      <c r="T4" s="67"/>
      <c r="U4" s="67"/>
      <c r="V4" s="67"/>
      <c r="W4" s="67"/>
      <c r="X4" s="67"/>
      <c r="Y4" s="67"/>
      <c r="Z4" s="67"/>
      <c r="AA4" s="67"/>
      <c r="AB4" s="67"/>
      <c r="AC4" s="67"/>
      <c r="AD4" s="67"/>
      <c r="AE4" s="67"/>
    </row>
    <row r="5" spans="1:37" ht="50.4" x14ac:dyDescent="0.3">
      <c r="A5" s="67"/>
      <c r="B5" s="16" t="s">
        <v>53</v>
      </c>
      <c r="C5" s="17" t="s">
        <v>98</v>
      </c>
      <c r="D5" s="18">
        <v>0.4</v>
      </c>
      <c r="E5" s="67"/>
      <c r="F5" s="67"/>
      <c r="G5" s="67"/>
      <c r="H5" s="67"/>
      <c r="I5" s="67"/>
      <c r="J5" s="67"/>
      <c r="K5" s="67"/>
      <c r="L5" s="67"/>
      <c r="M5" s="67"/>
      <c r="N5" s="67"/>
      <c r="O5" s="67"/>
      <c r="P5" s="67"/>
      <c r="Q5" s="67"/>
      <c r="R5" s="67"/>
      <c r="S5" s="67"/>
      <c r="T5" s="67"/>
      <c r="U5" s="67"/>
      <c r="V5" s="67"/>
      <c r="W5" s="67"/>
      <c r="X5" s="67"/>
      <c r="Y5" s="67"/>
      <c r="Z5" s="67"/>
      <c r="AA5" s="67"/>
      <c r="AB5" s="67"/>
      <c r="AC5" s="67"/>
      <c r="AD5" s="67"/>
      <c r="AE5" s="67"/>
    </row>
    <row r="6" spans="1:37" ht="50.4" x14ac:dyDescent="0.3">
      <c r="A6" s="67"/>
      <c r="B6" s="19" t="s">
        <v>102</v>
      </c>
      <c r="C6" s="17" t="s">
        <v>99</v>
      </c>
      <c r="D6" s="18">
        <v>0.6</v>
      </c>
      <c r="E6" s="67"/>
      <c r="F6" s="67"/>
      <c r="G6" s="67"/>
      <c r="H6" s="67"/>
      <c r="I6" s="67"/>
      <c r="J6" s="67"/>
      <c r="K6" s="67"/>
      <c r="L6" s="67"/>
      <c r="M6" s="67"/>
      <c r="N6" s="67"/>
      <c r="O6" s="67"/>
      <c r="P6" s="67"/>
      <c r="Q6" s="67"/>
      <c r="R6" s="67"/>
      <c r="S6" s="67"/>
      <c r="T6" s="67"/>
      <c r="U6" s="67"/>
      <c r="V6" s="67"/>
      <c r="W6" s="67"/>
      <c r="X6" s="67"/>
      <c r="Y6" s="67"/>
      <c r="Z6" s="67"/>
      <c r="AA6" s="67"/>
      <c r="AB6" s="67"/>
      <c r="AC6" s="67"/>
      <c r="AD6" s="67"/>
      <c r="AE6" s="67"/>
    </row>
    <row r="7" spans="1:37" ht="75.599999999999994" x14ac:dyDescent="0.3">
      <c r="A7" s="67"/>
      <c r="B7" s="20" t="s">
        <v>6</v>
      </c>
      <c r="C7" s="17" t="s">
        <v>100</v>
      </c>
      <c r="D7" s="18">
        <v>0.8</v>
      </c>
      <c r="E7" s="67"/>
      <c r="F7" s="67"/>
      <c r="G7" s="67"/>
      <c r="H7" s="67"/>
      <c r="I7" s="67"/>
      <c r="J7" s="67"/>
      <c r="K7" s="67"/>
      <c r="L7" s="67"/>
      <c r="M7" s="67"/>
      <c r="N7" s="67"/>
      <c r="O7" s="67"/>
      <c r="P7" s="67"/>
      <c r="Q7" s="67"/>
      <c r="R7" s="67"/>
      <c r="S7" s="67"/>
      <c r="T7" s="67"/>
      <c r="U7" s="67"/>
      <c r="V7" s="67"/>
      <c r="W7" s="67"/>
      <c r="X7" s="67"/>
      <c r="Y7" s="67"/>
      <c r="Z7" s="67"/>
      <c r="AA7" s="67"/>
      <c r="AB7" s="67"/>
      <c r="AC7" s="67"/>
      <c r="AD7" s="67"/>
      <c r="AE7" s="67"/>
    </row>
    <row r="8" spans="1:37" ht="50.4" x14ac:dyDescent="0.3">
      <c r="A8" s="67"/>
      <c r="B8" s="21" t="s">
        <v>54</v>
      </c>
      <c r="C8" s="17" t="s">
        <v>101</v>
      </c>
      <c r="D8" s="18">
        <v>1</v>
      </c>
      <c r="E8" s="67"/>
      <c r="F8" s="67"/>
      <c r="G8" s="67"/>
      <c r="H8" s="67"/>
      <c r="I8" s="67"/>
      <c r="J8" s="67"/>
      <c r="K8" s="67"/>
      <c r="L8" s="67"/>
      <c r="M8" s="67"/>
      <c r="N8" s="67"/>
      <c r="O8" s="67"/>
      <c r="P8" s="67"/>
      <c r="Q8" s="67"/>
      <c r="R8" s="67"/>
      <c r="S8" s="67"/>
      <c r="T8" s="67"/>
      <c r="U8" s="67"/>
      <c r="V8" s="67"/>
      <c r="W8" s="67"/>
      <c r="X8" s="67"/>
      <c r="Y8" s="67"/>
      <c r="Z8" s="67"/>
      <c r="AA8" s="67"/>
      <c r="AB8" s="67"/>
      <c r="AC8" s="67"/>
      <c r="AD8" s="67"/>
      <c r="AE8" s="67"/>
    </row>
    <row r="9" spans="1:37" x14ac:dyDescent="0.3">
      <c r="A9" s="67"/>
      <c r="B9" s="89"/>
      <c r="C9" s="89"/>
      <c r="D9" s="89"/>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row>
    <row r="10" spans="1:37" x14ac:dyDescent="0.3">
      <c r="A10" s="67"/>
      <c r="B10" s="90"/>
      <c r="C10" s="89"/>
      <c r="D10" s="89"/>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row>
    <row r="11" spans="1:37" x14ac:dyDescent="0.3">
      <c r="A11" s="67"/>
      <c r="B11" s="89"/>
      <c r="C11" s="89"/>
      <c r="D11" s="89"/>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row>
    <row r="12" spans="1:37" x14ac:dyDescent="0.3">
      <c r="A12" s="67"/>
      <c r="B12" s="89"/>
      <c r="C12" s="89"/>
      <c r="D12" s="89"/>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row>
    <row r="13" spans="1:37" x14ac:dyDescent="0.3">
      <c r="A13" s="67"/>
      <c r="B13" s="89"/>
      <c r="C13" s="89"/>
      <c r="D13" s="89"/>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row>
    <row r="14" spans="1:37" x14ac:dyDescent="0.3">
      <c r="A14" s="67"/>
      <c r="B14" s="89"/>
      <c r="C14" s="89"/>
      <c r="D14" s="89"/>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row>
    <row r="15" spans="1:37" x14ac:dyDescent="0.3">
      <c r="A15" s="67"/>
      <c r="B15" s="89"/>
      <c r="C15" s="89"/>
      <c r="D15" s="89"/>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row>
    <row r="16" spans="1:37" x14ac:dyDescent="0.3">
      <c r="A16" s="67"/>
      <c r="B16" s="89"/>
      <c r="C16" s="89"/>
      <c r="D16" s="89"/>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row>
    <row r="17" spans="1:37" x14ac:dyDescent="0.3">
      <c r="A17" s="67"/>
      <c r="B17" s="89"/>
      <c r="C17" s="89"/>
      <c r="D17" s="89"/>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row>
    <row r="18" spans="1:37" x14ac:dyDescent="0.3">
      <c r="A18" s="67"/>
      <c r="B18" s="89"/>
      <c r="C18" s="89"/>
      <c r="D18" s="89"/>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row>
    <row r="19" spans="1:37" x14ac:dyDescent="0.3">
      <c r="A19" s="67"/>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row>
    <row r="20" spans="1:37" x14ac:dyDescent="0.3">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row>
    <row r="21" spans="1:37" x14ac:dyDescent="0.3">
      <c r="A21" s="67"/>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row>
    <row r="22" spans="1:37" x14ac:dyDescent="0.3">
      <c r="A22" s="67"/>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row>
    <row r="23" spans="1:37" x14ac:dyDescent="0.3">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row>
    <row r="24" spans="1:37" x14ac:dyDescent="0.3">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row>
    <row r="25" spans="1:37" x14ac:dyDescent="0.3">
      <c r="A25" s="67"/>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row>
    <row r="26" spans="1:37" x14ac:dyDescent="0.3">
      <c r="A26" s="67"/>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row>
    <row r="27" spans="1:37" x14ac:dyDescent="0.3">
      <c r="A27" s="67"/>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row>
    <row r="28" spans="1:37" x14ac:dyDescent="0.3">
      <c r="A28" s="67"/>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row>
    <row r="29" spans="1:37" x14ac:dyDescent="0.3">
      <c r="A29" s="67"/>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row>
    <row r="30" spans="1:37" x14ac:dyDescent="0.3">
      <c r="A30" s="67"/>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row>
    <row r="31" spans="1:37" x14ac:dyDescent="0.3">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row>
    <row r="32" spans="1:37" x14ac:dyDescent="0.3">
      <c r="A32" s="67"/>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row>
    <row r="33" spans="1:31" x14ac:dyDescent="0.3">
      <c r="A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row>
    <row r="34" spans="1:31" x14ac:dyDescent="0.3">
      <c r="A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row>
    <row r="35" spans="1:31" x14ac:dyDescent="0.3">
      <c r="A35" s="67"/>
    </row>
    <row r="36" spans="1:31" x14ac:dyDescent="0.3">
      <c r="A36" s="67"/>
    </row>
    <row r="37" spans="1:31" x14ac:dyDescent="0.3">
      <c r="A37" s="67"/>
    </row>
    <row r="38" spans="1:31" x14ac:dyDescent="0.3">
      <c r="A38" s="67"/>
    </row>
    <row r="39" spans="1:31" x14ac:dyDescent="0.3">
      <c r="A39" s="67"/>
    </row>
    <row r="40" spans="1:31" x14ac:dyDescent="0.3">
      <c r="A40" s="67"/>
    </row>
    <row r="41" spans="1:31" x14ac:dyDescent="0.3">
      <c r="A41" s="67"/>
    </row>
    <row r="42" spans="1:31" x14ac:dyDescent="0.3">
      <c r="A42" s="67"/>
    </row>
    <row r="43" spans="1:31" x14ac:dyDescent="0.3">
      <c r="A43" s="67"/>
    </row>
    <row r="44" spans="1:31" x14ac:dyDescent="0.3">
      <c r="A44" s="67"/>
    </row>
    <row r="45" spans="1:31" x14ac:dyDescent="0.3">
      <c r="A45" s="67"/>
    </row>
    <row r="46" spans="1:31" x14ac:dyDescent="0.3">
      <c r="A46" s="67"/>
    </row>
    <row r="47" spans="1:31" x14ac:dyDescent="0.3">
      <c r="A47" s="67"/>
    </row>
    <row r="48" spans="1:31" x14ac:dyDescent="0.3">
      <c r="A48" s="67"/>
    </row>
    <row r="49" spans="1:1" x14ac:dyDescent="0.3">
      <c r="A49" s="67"/>
    </row>
    <row r="50" spans="1:1" x14ac:dyDescent="0.3">
      <c r="A50" s="67"/>
    </row>
    <row r="51" spans="1:1" x14ac:dyDescent="0.3">
      <c r="A51" s="67"/>
    </row>
    <row r="52" spans="1:1" x14ac:dyDescent="0.3">
      <c r="A52" s="67"/>
    </row>
    <row r="53" spans="1:1" x14ac:dyDescent="0.3">
      <c r="A53" s="67"/>
    </row>
    <row r="54" spans="1:1" x14ac:dyDescent="0.3">
      <c r="A54" s="67"/>
    </row>
    <row r="55" spans="1:1" x14ac:dyDescent="0.3">
      <c r="A55" s="67"/>
    </row>
  </sheetData>
  <mergeCells count="1">
    <mergeCell ref="B1:D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249977111117893"/>
  </sheetPr>
  <dimension ref="A1:U224"/>
  <sheetViews>
    <sheetView topLeftCell="D1" zoomScale="51" zoomScaleNormal="51" workbookViewId="0">
      <selection activeCell="B4" sqref="B4"/>
    </sheetView>
  </sheetViews>
  <sheetFormatPr baseColWidth="10" defaultColWidth="11.44140625" defaultRowHeight="14.4" x14ac:dyDescent="0.3"/>
  <cols>
    <col min="1" max="1" width="11.44140625" style="22"/>
    <col min="2" max="2" width="40.44140625" style="22" customWidth="1"/>
    <col min="3" max="3" width="74.88671875" style="22" customWidth="1"/>
    <col min="4" max="4" width="135" style="22" bestFit="1" customWidth="1"/>
    <col min="5" max="5" width="137.88671875" style="22" customWidth="1"/>
    <col min="6" max="16384" width="11.44140625" style="22"/>
  </cols>
  <sheetData>
    <row r="1" spans="1:21" ht="32.4" x14ac:dyDescent="0.3">
      <c r="A1" s="89"/>
      <c r="B1" s="620" t="s">
        <v>62</v>
      </c>
      <c r="C1" s="620"/>
      <c r="D1" s="620"/>
      <c r="E1" s="89"/>
      <c r="F1" s="89"/>
      <c r="G1" s="89"/>
      <c r="H1" s="89"/>
      <c r="I1" s="89"/>
      <c r="J1" s="89"/>
      <c r="K1" s="89"/>
      <c r="L1" s="89"/>
      <c r="M1" s="89"/>
      <c r="N1" s="89"/>
      <c r="O1" s="89"/>
      <c r="P1" s="89"/>
      <c r="Q1" s="89"/>
      <c r="R1" s="89"/>
      <c r="S1" s="89"/>
      <c r="T1" s="89"/>
      <c r="U1" s="89"/>
    </row>
    <row r="2" spans="1:21" x14ac:dyDescent="0.3">
      <c r="A2" s="89"/>
      <c r="B2" s="89"/>
      <c r="C2" s="89"/>
      <c r="D2" s="89"/>
      <c r="E2" s="89"/>
      <c r="F2" s="89"/>
      <c r="G2" s="89"/>
      <c r="H2" s="89"/>
      <c r="I2" s="89"/>
      <c r="J2" s="89"/>
      <c r="K2" s="89"/>
      <c r="L2" s="89"/>
      <c r="M2" s="89"/>
      <c r="N2" s="89"/>
      <c r="O2" s="89"/>
      <c r="P2" s="89"/>
      <c r="Q2" s="89"/>
      <c r="R2" s="89"/>
      <c r="S2" s="89"/>
      <c r="T2" s="89"/>
      <c r="U2" s="89"/>
    </row>
    <row r="3" spans="1:21" ht="30" x14ac:dyDescent="0.3">
      <c r="A3" s="89"/>
      <c r="B3" s="88"/>
      <c r="C3" s="126" t="s">
        <v>56</v>
      </c>
      <c r="D3" s="126" t="s">
        <v>57</v>
      </c>
      <c r="E3" s="89"/>
      <c r="F3" s="89"/>
      <c r="G3" s="89"/>
      <c r="H3" s="89"/>
      <c r="I3" s="89"/>
      <c r="J3" s="89"/>
      <c r="K3" s="89"/>
      <c r="L3" s="89"/>
      <c r="M3" s="89"/>
      <c r="N3" s="89"/>
      <c r="O3" s="89"/>
      <c r="P3" s="89"/>
      <c r="Q3" s="89"/>
      <c r="R3" s="89"/>
      <c r="S3" s="89"/>
      <c r="T3" s="89"/>
      <c r="U3" s="89"/>
    </row>
    <row r="4" spans="1:21" ht="32.4" x14ac:dyDescent="0.3">
      <c r="A4" s="89" t="s">
        <v>82</v>
      </c>
      <c r="B4" s="127" t="s">
        <v>96</v>
      </c>
      <c r="C4" s="128" t="s">
        <v>205</v>
      </c>
      <c r="D4" s="129" t="s">
        <v>92</v>
      </c>
      <c r="E4" s="89"/>
      <c r="F4" s="89"/>
      <c r="G4" s="89"/>
      <c r="H4" s="89"/>
      <c r="I4" s="89"/>
      <c r="J4" s="89"/>
      <c r="K4" s="89"/>
      <c r="L4" s="89"/>
      <c r="M4" s="89"/>
      <c r="N4" s="89"/>
      <c r="O4" s="89"/>
      <c r="P4" s="89"/>
      <c r="Q4" s="89"/>
      <c r="R4" s="89"/>
      <c r="S4" s="89"/>
      <c r="T4" s="89"/>
      <c r="U4" s="89"/>
    </row>
    <row r="5" spans="1:21" ht="64.8" x14ac:dyDescent="0.3">
      <c r="A5" s="89" t="s">
        <v>83</v>
      </c>
      <c r="B5" s="130" t="s">
        <v>58</v>
      </c>
      <c r="C5" s="131" t="s">
        <v>206</v>
      </c>
      <c r="D5" s="132" t="s">
        <v>93</v>
      </c>
      <c r="E5" s="89"/>
      <c r="F5" s="89"/>
      <c r="G5" s="89"/>
      <c r="H5" s="89"/>
      <c r="I5" s="89"/>
      <c r="J5" s="89"/>
      <c r="K5" s="89"/>
      <c r="L5" s="89"/>
      <c r="M5" s="89"/>
      <c r="N5" s="89"/>
      <c r="O5" s="89"/>
      <c r="P5" s="89"/>
      <c r="Q5" s="89"/>
      <c r="R5" s="89"/>
      <c r="S5" s="89"/>
      <c r="T5" s="89"/>
      <c r="U5" s="89"/>
    </row>
    <row r="6" spans="1:21" ht="64.8" x14ac:dyDescent="0.3">
      <c r="A6" s="89" t="s">
        <v>80</v>
      </c>
      <c r="B6" s="133" t="s">
        <v>59</v>
      </c>
      <c r="C6" s="131" t="s">
        <v>210</v>
      </c>
      <c r="D6" s="132" t="s">
        <v>95</v>
      </c>
      <c r="E6" s="89"/>
      <c r="F6" s="89"/>
      <c r="G6" s="89"/>
      <c r="H6" s="89"/>
      <c r="I6" s="89"/>
      <c r="J6" s="89"/>
      <c r="K6" s="89"/>
      <c r="L6" s="89"/>
      <c r="M6" s="89"/>
      <c r="N6" s="89"/>
      <c r="O6" s="89"/>
      <c r="P6" s="89"/>
      <c r="Q6" s="89"/>
      <c r="R6" s="89"/>
      <c r="S6" s="89"/>
      <c r="T6" s="89"/>
      <c r="U6" s="89"/>
    </row>
    <row r="7" spans="1:21" ht="97.2" x14ac:dyDescent="0.3">
      <c r="A7" s="89" t="s">
        <v>7</v>
      </c>
      <c r="B7" s="134" t="s">
        <v>60</v>
      </c>
      <c r="C7" s="131" t="s">
        <v>211</v>
      </c>
      <c r="D7" s="132" t="s">
        <v>94</v>
      </c>
      <c r="E7" s="89"/>
      <c r="F7" s="89"/>
      <c r="G7" s="89"/>
      <c r="H7" s="89"/>
      <c r="I7" s="89"/>
      <c r="J7" s="89"/>
      <c r="K7" s="89"/>
      <c r="L7" s="89"/>
      <c r="M7" s="89"/>
      <c r="N7" s="89"/>
      <c r="O7" s="89"/>
      <c r="P7" s="89"/>
      <c r="Q7" s="89"/>
      <c r="R7" s="89"/>
      <c r="S7" s="89"/>
      <c r="T7" s="89"/>
      <c r="U7" s="89"/>
    </row>
    <row r="8" spans="1:21" ht="64.8" x14ac:dyDescent="0.3">
      <c r="A8" s="89" t="s">
        <v>84</v>
      </c>
      <c r="B8" s="135" t="s">
        <v>61</v>
      </c>
      <c r="C8" s="131" t="s">
        <v>207</v>
      </c>
      <c r="D8" s="132" t="s">
        <v>113</v>
      </c>
      <c r="E8" s="89"/>
      <c r="F8" s="89"/>
      <c r="G8" s="89"/>
      <c r="H8" s="89"/>
      <c r="I8" s="89"/>
      <c r="J8" s="89"/>
      <c r="K8" s="89"/>
      <c r="L8" s="89"/>
      <c r="M8" s="89"/>
      <c r="N8" s="89"/>
      <c r="O8" s="89"/>
      <c r="P8" s="89"/>
      <c r="Q8" s="89"/>
      <c r="R8" s="89"/>
      <c r="S8" s="89"/>
      <c r="T8" s="89"/>
      <c r="U8" s="89"/>
    </row>
    <row r="9" spans="1:21" s="23" customFormat="1" ht="20.399999999999999" x14ac:dyDescent="0.3">
      <c r="A9" s="87"/>
      <c r="B9" s="87"/>
      <c r="C9" s="139"/>
      <c r="D9" s="139"/>
      <c r="E9" s="87"/>
      <c r="F9" s="87"/>
      <c r="G9" s="87"/>
      <c r="H9" s="87"/>
      <c r="I9" s="87"/>
      <c r="J9" s="87"/>
      <c r="K9" s="87"/>
      <c r="L9" s="87"/>
      <c r="M9" s="87"/>
      <c r="N9" s="87"/>
      <c r="O9" s="87"/>
      <c r="P9" s="87"/>
      <c r="Q9" s="87"/>
      <c r="R9" s="87"/>
      <c r="S9" s="87"/>
      <c r="T9" s="87"/>
      <c r="U9" s="87"/>
    </row>
    <row r="10" spans="1:21" s="23" customFormat="1" x14ac:dyDescent="0.3">
      <c r="A10" s="87"/>
      <c r="B10" s="140"/>
      <c r="C10" s="140"/>
      <c r="D10" s="140"/>
      <c r="E10" s="87"/>
      <c r="F10" s="87"/>
      <c r="G10" s="87"/>
      <c r="H10" s="87"/>
      <c r="I10" s="87"/>
      <c r="J10" s="87"/>
      <c r="K10" s="87"/>
      <c r="L10" s="87"/>
      <c r="M10" s="87"/>
      <c r="N10" s="87"/>
      <c r="O10" s="87"/>
      <c r="P10" s="87"/>
      <c r="Q10" s="87"/>
      <c r="R10" s="87"/>
      <c r="S10" s="87"/>
      <c r="T10" s="87"/>
      <c r="U10" s="87"/>
    </row>
    <row r="11" spans="1:21" s="23" customFormat="1" x14ac:dyDescent="0.3">
      <c r="A11" s="87"/>
      <c r="B11" s="87" t="s">
        <v>90</v>
      </c>
      <c r="C11" s="87" t="s">
        <v>209</v>
      </c>
      <c r="D11" s="87" t="s">
        <v>143</v>
      </c>
      <c r="E11" s="87"/>
      <c r="F11" s="87"/>
      <c r="G11" s="87"/>
      <c r="H11" s="87"/>
      <c r="I11" s="87"/>
      <c r="J11" s="87"/>
      <c r="K11" s="87"/>
      <c r="L11" s="87"/>
      <c r="M11" s="87"/>
      <c r="N11" s="87"/>
      <c r="O11" s="87"/>
      <c r="P11" s="87"/>
      <c r="Q11" s="87"/>
      <c r="R11" s="87"/>
      <c r="S11" s="87"/>
      <c r="T11" s="87"/>
      <c r="U11" s="87"/>
    </row>
    <row r="12" spans="1:21" s="23" customFormat="1" x14ac:dyDescent="0.3">
      <c r="A12" s="87"/>
      <c r="B12" s="87" t="s">
        <v>88</v>
      </c>
      <c r="C12" s="87" t="s">
        <v>208</v>
      </c>
      <c r="D12" s="87" t="s">
        <v>144</v>
      </c>
      <c r="E12" s="87"/>
      <c r="F12" s="87"/>
      <c r="G12" s="87"/>
      <c r="H12" s="87"/>
      <c r="I12" s="87"/>
      <c r="J12" s="87"/>
      <c r="K12" s="87"/>
      <c r="L12" s="87"/>
      <c r="M12" s="87"/>
      <c r="N12" s="87"/>
      <c r="O12" s="87"/>
      <c r="P12" s="87"/>
      <c r="Q12" s="87"/>
      <c r="R12" s="87"/>
      <c r="S12" s="87"/>
      <c r="T12" s="87"/>
      <c r="U12" s="87"/>
    </row>
    <row r="13" spans="1:21" s="23" customFormat="1" x14ac:dyDescent="0.3">
      <c r="A13" s="87"/>
      <c r="B13" s="87"/>
      <c r="C13" s="87" t="s">
        <v>212</v>
      </c>
      <c r="D13" s="87" t="s">
        <v>145</v>
      </c>
      <c r="E13" s="87"/>
      <c r="F13" s="87"/>
      <c r="G13" s="87"/>
      <c r="H13" s="87"/>
      <c r="I13" s="87"/>
      <c r="J13" s="87"/>
      <c r="K13" s="87"/>
      <c r="L13" s="87"/>
      <c r="M13" s="87"/>
      <c r="N13" s="87"/>
      <c r="O13" s="87"/>
      <c r="P13" s="87"/>
      <c r="Q13" s="87"/>
      <c r="R13" s="87"/>
      <c r="S13" s="87"/>
      <c r="T13" s="87"/>
      <c r="U13" s="87"/>
    </row>
    <row r="14" spans="1:21" s="23" customFormat="1" x14ac:dyDescent="0.3">
      <c r="A14" s="87"/>
      <c r="B14" s="87"/>
      <c r="C14" s="87" t="s">
        <v>214</v>
      </c>
      <c r="D14" s="87" t="s">
        <v>146</v>
      </c>
      <c r="E14" s="87"/>
      <c r="F14" s="87"/>
      <c r="G14" s="87"/>
      <c r="H14" s="87"/>
      <c r="I14" s="87"/>
      <c r="J14" s="87"/>
      <c r="K14" s="87"/>
      <c r="L14" s="87"/>
      <c r="M14" s="87"/>
      <c r="N14" s="87"/>
      <c r="O14" s="87"/>
      <c r="P14" s="87"/>
      <c r="Q14" s="87"/>
      <c r="R14" s="87"/>
      <c r="S14" s="87"/>
      <c r="T14" s="87"/>
      <c r="U14" s="87"/>
    </row>
    <row r="15" spans="1:21" s="23" customFormat="1" x14ac:dyDescent="0.3">
      <c r="A15" s="87"/>
      <c r="B15" s="87"/>
      <c r="C15" s="87" t="s">
        <v>213</v>
      </c>
      <c r="D15" s="87" t="s">
        <v>147</v>
      </c>
      <c r="E15" s="87"/>
      <c r="F15" s="87"/>
      <c r="G15" s="87"/>
      <c r="H15" s="87"/>
      <c r="I15" s="87"/>
      <c r="J15" s="87"/>
      <c r="K15" s="87"/>
      <c r="L15" s="87"/>
      <c r="M15" s="87"/>
      <c r="N15" s="87"/>
      <c r="O15" s="87"/>
      <c r="P15" s="87"/>
      <c r="Q15" s="87"/>
      <c r="R15" s="87"/>
      <c r="S15" s="87"/>
      <c r="T15" s="87"/>
      <c r="U15" s="87"/>
    </row>
    <row r="16" spans="1:21" s="23" customFormat="1" x14ac:dyDescent="0.3">
      <c r="A16" s="87"/>
      <c r="B16" s="87"/>
      <c r="C16" s="87"/>
      <c r="D16" s="87"/>
      <c r="E16" s="87"/>
      <c r="F16" s="87"/>
      <c r="G16" s="87"/>
      <c r="H16" s="87"/>
      <c r="I16" s="87"/>
      <c r="J16" s="87"/>
      <c r="K16" s="87"/>
      <c r="L16" s="87"/>
      <c r="M16" s="87"/>
      <c r="N16" s="87"/>
      <c r="O16" s="87"/>
    </row>
    <row r="17" spans="1:15" s="23" customFormat="1" x14ac:dyDescent="0.3">
      <c r="A17" s="87"/>
      <c r="B17" s="87"/>
      <c r="C17" s="87"/>
      <c r="D17" s="87"/>
      <c r="E17" s="87"/>
      <c r="F17" s="87"/>
      <c r="G17" s="87"/>
      <c r="H17" s="87"/>
      <c r="I17" s="87"/>
      <c r="J17" s="87"/>
      <c r="K17" s="87"/>
      <c r="L17" s="87"/>
      <c r="M17" s="87"/>
      <c r="N17" s="87"/>
      <c r="O17" s="87"/>
    </row>
    <row r="18" spans="1:15" s="23" customFormat="1" x14ac:dyDescent="0.3">
      <c r="A18" s="87"/>
      <c r="B18" s="87"/>
      <c r="C18" s="87"/>
      <c r="D18" s="87"/>
      <c r="E18" s="87"/>
      <c r="F18" s="87"/>
      <c r="G18" s="87"/>
      <c r="H18" s="87"/>
      <c r="I18" s="87"/>
      <c r="J18" s="87"/>
      <c r="K18" s="87"/>
      <c r="L18" s="87"/>
      <c r="M18" s="87"/>
      <c r="N18" s="87"/>
      <c r="O18" s="87"/>
    </row>
    <row r="19" spans="1:15" s="23" customFormat="1" x14ac:dyDescent="0.3">
      <c r="A19" s="87"/>
      <c r="B19" s="87"/>
      <c r="C19" s="87"/>
      <c r="D19" s="87"/>
      <c r="E19" s="87"/>
      <c r="F19" s="87"/>
      <c r="G19" s="87"/>
      <c r="H19" s="87"/>
      <c r="I19" s="87"/>
      <c r="J19" s="87"/>
      <c r="K19" s="87"/>
      <c r="L19" s="87"/>
      <c r="M19" s="87"/>
      <c r="N19" s="87"/>
      <c r="O19" s="87"/>
    </row>
    <row r="20" spans="1:15" s="23" customFormat="1" x14ac:dyDescent="0.3">
      <c r="A20" s="87"/>
      <c r="B20" s="87"/>
      <c r="C20" s="87"/>
      <c r="D20" s="87"/>
      <c r="E20" s="87"/>
      <c r="F20" s="87"/>
      <c r="G20" s="87"/>
      <c r="H20" s="87"/>
      <c r="I20" s="87"/>
      <c r="J20" s="87"/>
      <c r="K20" s="87"/>
      <c r="L20" s="87"/>
      <c r="M20" s="87"/>
      <c r="N20" s="87"/>
      <c r="O20" s="87"/>
    </row>
    <row r="21" spans="1:15" s="23" customFormat="1" x14ac:dyDescent="0.3">
      <c r="A21" s="87"/>
      <c r="B21" s="87"/>
      <c r="C21" s="87"/>
      <c r="D21" s="87"/>
      <c r="E21" s="87"/>
      <c r="F21" s="87"/>
      <c r="G21" s="87"/>
      <c r="H21" s="87"/>
      <c r="I21" s="87"/>
      <c r="J21" s="87"/>
      <c r="K21" s="87"/>
      <c r="L21" s="87"/>
      <c r="M21" s="87"/>
      <c r="N21" s="87"/>
      <c r="O21" s="87"/>
    </row>
    <row r="22" spans="1:15" s="23" customFormat="1" ht="20.399999999999999" x14ac:dyDescent="0.3">
      <c r="A22" s="87"/>
      <c r="B22" s="87"/>
      <c r="C22" s="139"/>
      <c r="D22" s="139"/>
      <c r="E22" s="87"/>
      <c r="F22" s="87"/>
      <c r="G22" s="87"/>
      <c r="H22" s="87"/>
      <c r="I22" s="87"/>
      <c r="J22" s="87"/>
      <c r="K22" s="87"/>
      <c r="L22" s="87"/>
      <c r="M22" s="87"/>
      <c r="N22" s="87"/>
      <c r="O22" s="87"/>
    </row>
    <row r="23" spans="1:15" s="23" customFormat="1" ht="20.399999999999999" x14ac:dyDescent="0.3">
      <c r="A23" s="87"/>
      <c r="B23" s="87"/>
      <c r="C23" s="139"/>
      <c r="D23" s="139"/>
      <c r="E23" s="87"/>
      <c r="F23" s="87"/>
      <c r="G23" s="87"/>
      <c r="H23" s="87"/>
      <c r="I23" s="87"/>
      <c r="J23" s="87"/>
      <c r="K23" s="87"/>
      <c r="L23" s="87"/>
      <c r="M23" s="87"/>
      <c r="N23" s="87"/>
      <c r="O23" s="87"/>
    </row>
    <row r="24" spans="1:15" s="23" customFormat="1" ht="20.399999999999999" x14ac:dyDescent="0.3">
      <c r="A24" s="87"/>
      <c r="B24" s="87"/>
      <c r="C24" s="139"/>
      <c r="D24" s="139"/>
      <c r="E24" s="87"/>
      <c r="F24" s="87"/>
      <c r="G24" s="87"/>
      <c r="H24" s="87"/>
      <c r="I24" s="87"/>
      <c r="J24" s="87"/>
      <c r="K24" s="87"/>
      <c r="L24" s="87"/>
      <c r="M24" s="87"/>
      <c r="N24" s="87"/>
      <c r="O24" s="87"/>
    </row>
    <row r="25" spans="1:15" s="23" customFormat="1" ht="20.399999999999999" x14ac:dyDescent="0.3">
      <c r="A25" s="87"/>
      <c r="B25" s="87"/>
      <c r="C25" s="139"/>
      <c r="D25" s="139"/>
      <c r="E25" s="87"/>
      <c r="F25" s="87"/>
      <c r="G25" s="87"/>
      <c r="H25" s="87"/>
      <c r="I25" s="87"/>
      <c r="J25" s="87"/>
      <c r="K25" s="87"/>
      <c r="L25" s="87"/>
      <c r="M25" s="87"/>
      <c r="N25" s="87"/>
      <c r="O25" s="87"/>
    </row>
    <row r="26" spans="1:15" s="23" customFormat="1" ht="20.399999999999999" x14ac:dyDescent="0.3">
      <c r="A26" s="87"/>
      <c r="B26" s="87"/>
      <c r="C26" s="139"/>
      <c r="D26" s="139"/>
      <c r="E26" s="87"/>
      <c r="F26" s="87"/>
      <c r="G26" s="87"/>
      <c r="H26" s="87"/>
      <c r="I26" s="87"/>
      <c r="J26" s="87"/>
      <c r="K26" s="87"/>
      <c r="L26" s="87"/>
      <c r="M26" s="87"/>
      <c r="N26" s="87"/>
      <c r="O26" s="87"/>
    </row>
    <row r="27" spans="1:15" s="23" customFormat="1" ht="20.399999999999999" x14ac:dyDescent="0.3">
      <c r="A27" s="87"/>
      <c r="B27" s="87"/>
      <c r="C27" s="139"/>
      <c r="D27" s="139"/>
      <c r="E27" s="87"/>
      <c r="F27" s="87"/>
      <c r="G27" s="87"/>
      <c r="H27" s="87"/>
      <c r="I27" s="87"/>
      <c r="J27" s="87"/>
      <c r="K27" s="87"/>
      <c r="L27" s="87"/>
      <c r="M27" s="87"/>
      <c r="N27" s="87"/>
      <c r="O27" s="87"/>
    </row>
    <row r="28" spans="1:15" s="23" customFormat="1" ht="20.399999999999999" x14ac:dyDescent="0.3">
      <c r="A28" s="87"/>
      <c r="B28" s="87"/>
      <c r="C28" s="139"/>
      <c r="D28" s="139"/>
      <c r="E28" s="87"/>
      <c r="F28" s="87"/>
      <c r="G28" s="87"/>
      <c r="H28" s="87"/>
      <c r="I28" s="87"/>
      <c r="J28" s="87"/>
      <c r="K28" s="87"/>
      <c r="L28" s="87"/>
      <c r="M28" s="87"/>
      <c r="N28" s="87"/>
      <c r="O28" s="87"/>
    </row>
    <row r="29" spans="1:15" s="23" customFormat="1" ht="20.399999999999999" x14ac:dyDescent="0.3">
      <c r="A29" s="87"/>
      <c r="B29" s="87"/>
      <c r="C29" s="139"/>
      <c r="D29" s="139"/>
      <c r="E29" s="87"/>
      <c r="F29" s="87"/>
      <c r="G29" s="87"/>
      <c r="H29" s="87"/>
      <c r="I29" s="87"/>
      <c r="J29" s="87"/>
      <c r="K29" s="87"/>
      <c r="L29" s="87"/>
      <c r="M29" s="87"/>
      <c r="N29" s="87"/>
      <c r="O29" s="87"/>
    </row>
    <row r="30" spans="1:15" s="23" customFormat="1" ht="20.399999999999999" x14ac:dyDescent="0.3">
      <c r="A30" s="87"/>
      <c r="B30" s="87"/>
      <c r="C30" s="139"/>
      <c r="D30" s="139"/>
      <c r="E30" s="87"/>
      <c r="F30" s="87"/>
      <c r="G30" s="87"/>
      <c r="H30" s="87"/>
      <c r="I30" s="87"/>
      <c r="J30" s="87"/>
      <c r="K30" s="87"/>
      <c r="L30" s="87"/>
      <c r="M30" s="87"/>
      <c r="N30" s="87"/>
      <c r="O30" s="87"/>
    </row>
    <row r="31" spans="1:15" s="23" customFormat="1" ht="20.399999999999999" x14ac:dyDescent="0.3">
      <c r="A31" s="87"/>
      <c r="B31" s="87"/>
      <c r="C31" s="139"/>
      <c r="D31" s="139"/>
      <c r="E31" s="87"/>
      <c r="F31" s="87"/>
      <c r="G31" s="87"/>
      <c r="H31" s="87"/>
      <c r="I31" s="87"/>
      <c r="J31" s="87"/>
      <c r="K31" s="87"/>
      <c r="L31" s="87"/>
      <c r="M31" s="87"/>
      <c r="N31" s="87"/>
      <c r="O31" s="87"/>
    </row>
    <row r="32" spans="1:15" s="23" customFormat="1" ht="20.399999999999999" x14ac:dyDescent="0.3">
      <c r="A32" s="87"/>
      <c r="B32" s="87"/>
      <c r="C32" s="139"/>
      <c r="D32" s="139"/>
      <c r="E32" s="87"/>
      <c r="F32" s="87"/>
      <c r="G32" s="87"/>
      <c r="H32" s="87"/>
      <c r="I32" s="87"/>
      <c r="J32" s="87"/>
      <c r="K32" s="87"/>
      <c r="L32" s="87"/>
      <c r="M32" s="87"/>
      <c r="N32" s="87"/>
      <c r="O32" s="87"/>
    </row>
    <row r="33" spans="1:15" s="23" customFormat="1" ht="20.399999999999999" x14ac:dyDescent="0.3">
      <c r="A33" s="87"/>
      <c r="B33" s="87"/>
      <c r="C33" s="139"/>
      <c r="D33" s="139"/>
      <c r="E33" s="87"/>
      <c r="F33" s="87"/>
      <c r="G33" s="87"/>
      <c r="H33" s="87"/>
      <c r="I33" s="87"/>
      <c r="J33" s="87"/>
      <c r="K33" s="87"/>
      <c r="L33" s="87"/>
      <c r="M33" s="87"/>
      <c r="N33" s="87"/>
      <c r="O33" s="87"/>
    </row>
    <row r="34" spans="1:15" s="23" customFormat="1" ht="20.399999999999999" x14ac:dyDescent="0.3">
      <c r="A34" s="87"/>
      <c r="B34" s="87"/>
      <c r="C34" s="139"/>
      <c r="D34" s="139"/>
      <c r="E34" s="87"/>
      <c r="F34" s="87"/>
      <c r="G34" s="87"/>
      <c r="H34" s="87"/>
      <c r="I34" s="87"/>
      <c r="J34" s="87"/>
      <c r="K34" s="87"/>
      <c r="L34" s="87"/>
      <c r="M34" s="87"/>
      <c r="N34" s="87"/>
      <c r="O34" s="87"/>
    </row>
    <row r="35" spans="1:15" s="23" customFormat="1" ht="20.399999999999999" x14ac:dyDescent="0.3">
      <c r="A35" s="87"/>
      <c r="B35" s="87"/>
      <c r="C35" s="139"/>
      <c r="D35" s="139"/>
      <c r="E35" s="87"/>
      <c r="F35" s="87"/>
      <c r="G35" s="87"/>
      <c r="H35" s="87"/>
      <c r="I35" s="87"/>
      <c r="J35" s="87"/>
      <c r="K35" s="87"/>
      <c r="L35" s="87"/>
      <c r="M35" s="87"/>
      <c r="N35" s="87"/>
      <c r="O35" s="87"/>
    </row>
    <row r="36" spans="1:15" s="23" customFormat="1" ht="20.399999999999999" x14ac:dyDescent="0.3">
      <c r="A36" s="87"/>
      <c r="B36" s="87"/>
      <c r="C36" s="139"/>
      <c r="D36" s="139"/>
      <c r="E36" s="87"/>
      <c r="F36" s="87"/>
      <c r="G36" s="87"/>
      <c r="H36" s="87"/>
      <c r="I36" s="87"/>
      <c r="J36" s="87"/>
      <c r="K36" s="87"/>
      <c r="L36" s="87"/>
      <c r="M36" s="87"/>
      <c r="N36" s="87"/>
      <c r="O36" s="87"/>
    </row>
    <row r="37" spans="1:15" s="23" customFormat="1" ht="20.399999999999999" x14ac:dyDescent="0.3">
      <c r="A37" s="87"/>
      <c r="B37" s="87"/>
      <c r="C37" s="139"/>
      <c r="D37" s="139"/>
      <c r="E37" s="87"/>
      <c r="F37" s="87"/>
      <c r="G37" s="87"/>
      <c r="H37" s="87"/>
      <c r="I37" s="87"/>
      <c r="J37" s="87"/>
      <c r="K37" s="87"/>
      <c r="L37" s="87"/>
      <c r="M37" s="87"/>
      <c r="N37" s="87"/>
      <c r="O37" s="87"/>
    </row>
    <row r="38" spans="1:15" s="23" customFormat="1" ht="20.399999999999999" x14ac:dyDescent="0.3">
      <c r="A38" s="87"/>
      <c r="B38" s="87"/>
      <c r="C38" s="139"/>
      <c r="D38" s="139"/>
      <c r="E38" s="87"/>
      <c r="F38" s="87"/>
      <c r="G38" s="87"/>
      <c r="H38" s="87"/>
      <c r="I38" s="87"/>
      <c r="J38" s="87"/>
      <c r="K38" s="87"/>
      <c r="L38" s="87"/>
      <c r="M38" s="87"/>
      <c r="N38" s="87"/>
      <c r="O38" s="87"/>
    </row>
    <row r="39" spans="1:15" s="23" customFormat="1" ht="20.399999999999999" x14ac:dyDescent="0.3">
      <c r="A39" s="87"/>
      <c r="B39" s="87"/>
      <c r="C39" s="139"/>
      <c r="D39" s="139"/>
      <c r="E39" s="87"/>
      <c r="F39" s="87"/>
      <c r="G39" s="87"/>
      <c r="H39" s="87"/>
      <c r="I39" s="87"/>
      <c r="J39" s="87"/>
      <c r="K39" s="87"/>
      <c r="L39" s="87"/>
      <c r="M39" s="87"/>
      <c r="N39" s="87"/>
      <c r="O39" s="87"/>
    </row>
    <row r="40" spans="1:15" s="23" customFormat="1" ht="20.399999999999999" x14ac:dyDescent="0.3">
      <c r="A40" s="87"/>
      <c r="B40" s="87"/>
      <c r="C40" s="139"/>
      <c r="D40" s="139"/>
      <c r="E40" s="87"/>
      <c r="F40" s="87"/>
      <c r="G40" s="87"/>
      <c r="H40" s="87"/>
      <c r="I40" s="87"/>
      <c r="J40" s="87"/>
      <c r="K40" s="87"/>
      <c r="L40" s="87"/>
      <c r="M40" s="87"/>
      <c r="N40" s="87"/>
      <c r="O40" s="87"/>
    </row>
    <row r="41" spans="1:15" s="23" customFormat="1" ht="20.399999999999999" x14ac:dyDescent="0.3">
      <c r="A41" s="87"/>
      <c r="B41" s="87"/>
      <c r="C41" s="139"/>
      <c r="D41" s="139"/>
      <c r="E41" s="87"/>
      <c r="F41" s="87"/>
      <c r="G41" s="87"/>
      <c r="H41" s="87"/>
      <c r="I41" s="87"/>
      <c r="J41" s="87"/>
      <c r="K41" s="87"/>
      <c r="L41" s="87"/>
      <c r="M41" s="87"/>
      <c r="N41" s="87"/>
      <c r="O41" s="87"/>
    </row>
    <row r="42" spans="1:15" s="23" customFormat="1" ht="20.399999999999999" x14ac:dyDescent="0.3">
      <c r="A42" s="87"/>
      <c r="B42" s="87"/>
      <c r="C42" s="139"/>
      <c r="D42" s="139"/>
      <c r="E42" s="87"/>
      <c r="F42" s="87"/>
      <c r="G42" s="87"/>
      <c r="H42" s="87"/>
      <c r="I42" s="87"/>
      <c r="J42" s="87"/>
      <c r="K42" s="87"/>
      <c r="L42" s="87"/>
      <c r="M42" s="87"/>
      <c r="N42" s="87"/>
      <c r="O42" s="87"/>
    </row>
    <row r="43" spans="1:15" s="23" customFormat="1" ht="20.399999999999999" x14ac:dyDescent="0.3">
      <c r="A43" s="87"/>
      <c r="B43" s="87"/>
      <c r="C43" s="139"/>
      <c r="D43" s="139"/>
      <c r="E43" s="87"/>
      <c r="F43" s="87"/>
      <c r="G43" s="87"/>
      <c r="H43" s="87"/>
      <c r="I43" s="87"/>
      <c r="J43" s="87"/>
      <c r="K43" s="87"/>
      <c r="L43" s="87"/>
      <c r="M43" s="87"/>
      <c r="N43" s="87"/>
      <c r="O43" s="87"/>
    </row>
    <row r="44" spans="1:15" s="23" customFormat="1" ht="20.399999999999999" x14ac:dyDescent="0.3">
      <c r="A44" s="87"/>
      <c r="B44" s="87"/>
      <c r="C44" s="139"/>
      <c r="D44" s="139"/>
      <c r="E44" s="87"/>
      <c r="F44" s="87"/>
      <c r="G44" s="87"/>
      <c r="H44" s="87"/>
      <c r="I44" s="87"/>
      <c r="J44" s="87"/>
      <c r="K44" s="87"/>
      <c r="L44" s="87"/>
      <c r="M44" s="87"/>
      <c r="N44" s="87"/>
      <c r="O44" s="87"/>
    </row>
    <row r="45" spans="1:15" s="23" customFormat="1" ht="20.399999999999999" x14ac:dyDescent="0.3">
      <c r="A45" s="87"/>
      <c r="B45" s="87"/>
      <c r="C45" s="139"/>
      <c r="D45" s="139"/>
      <c r="E45" s="87"/>
      <c r="F45" s="87"/>
      <c r="G45" s="87"/>
      <c r="H45" s="87"/>
      <c r="I45" s="87"/>
      <c r="J45" s="87"/>
      <c r="K45" s="87"/>
      <c r="L45" s="87"/>
      <c r="M45" s="87"/>
      <c r="N45" s="87"/>
      <c r="O45" s="87"/>
    </row>
    <row r="46" spans="1:15" s="23" customFormat="1" ht="20.399999999999999" x14ac:dyDescent="0.3">
      <c r="A46" s="87"/>
      <c r="B46" s="87"/>
      <c r="C46" s="139"/>
      <c r="D46" s="139"/>
      <c r="E46" s="87"/>
      <c r="F46" s="87"/>
      <c r="G46" s="87"/>
      <c r="H46" s="87"/>
      <c r="I46" s="87"/>
      <c r="J46" s="87"/>
      <c r="K46" s="87"/>
      <c r="L46" s="87"/>
      <c r="M46" s="87"/>
      <c r="N46" s="87"/>
      <c r="O46" s="87"/>
    </row>
    <row r="47" spans="1:15" s="23" customFormat="1" ht="20.399999999999999" x14ac:dyDescent="0.3">
      <c r="A47" s="87"/>
      <c r="B47" s="87"/>
      <c r="C47" s="139"/>
      <c r="D47" s="139"/>
      <c r="E47" s="87"/>
      <c r="F47" s="87"/>
      <c r="G47" s="87"/>
      <c r="H47" s="87"/>
      <c r="I47" s="87"/>
      <c r="J47" s="87"/>
      <c r="K47" s="87"/>
      <c r="L47" s="87"/>
      <c r="M47" s="87"/>
      <c r="N47" s="87"/>
      <c r="O47" s="87"/>
    </row>
    <row r="48" spans="1:15" s="23" customFormat="1" ht="20.399999999999999" x14ac:dyDescent="0.3">
      <c r="A48" s="87"/>
      <c r="B48" s="87"/>
      <c r="C48" s="139"/>
      <c r="D48" s="139"/>
      <c r="E48" s="87"/>
      <c r="F48" s="87"/>
      <c r="G48" s="87"/>
      <c r="H48" s="87"/>
      <c r="I48" s="87"/>
      <c r="J48" s="87"/>
      <c r="K48" s="87"/>
      <c r="L48" s="87"/>
      <c r="M48" s="87"/>
      <c r="N48" s="87"/>
      <c r="O48" s="87"/>
    </row>
    <row r="49" spans="1:15" s="23" customFormat="1" ht="20.399999999999999" x14ac:dyDescent="0.3">
      <c r="A49" s="87"/>
      <c r="B49" s="87"/>
      <c r="C49" s="139"/>
      <c r="D49" s="139"/>
      <c r="E49" s="87"/>
      <c r="F49" s="87"/>
      <c r="G49" s="87"/>
      <c r="H49" s="87"/>
      <c r="I49" s="87"/>
      <c r="J49" s="87"/>
      <c r="K49" s="87"/>
      <c r="L49" s="87"/>
      <c r="M49" s="87"/>
      <c r="N49" s="87"/>
      <c r="O49" s="87"/>
    </row>
    <row r="50" spans="1:15" s="23" customFormat="1" ht="20.399999999999999" x14ac:dyDescent="0.3">
      <c r="A50" s="87"/>
      <c r="B50" s="87"/>
      <c r="C50" s="139"/>
      <c r="D50" s="139"/>
      <c r="E50" s="87"/>
      <c r="F50" s="87"/>
      <c r="G50" s="87"/>
      <c r="H50" s="87"/>
      <c r="I50" s="87"/>
      <c r="J50" s="87"/>
      <c r="K50" s="87"/>
      <c r="L50" s="87"/>
      <c r="M50" s="87"/>
      <c r="N50" s="87"/>
      <c r="O50" s="87"/>
    </row>
    <row r="51" spans="1:15" s="23" customFormat="1" ht="20.399999999999999" x14ac:dyDescent="0.3">
      <c r="A51" s="87"/>
      <c r="B51" s="87"/>
      <c r="C51" s="139"/>
      <c r="D51" s="139"/>
      <c r="E51" s="87"/>
      <c r="F51" s="87"/>
      <c r="G51" s="87"/>
      <c r="H51" s="87"/>
      <c r="I51" s="87"/>
      <c r="J51" s="87"/>
      <c r="K51" s="87"/>
      <c r="L51" s="87"/>
      <c r="M51" s="87"/>
      <c r="N51" s="87"/>
      <c r="O51" s="87"/>
    </row>
    <row r="52" spans="1:15" s="23" customFormat="1" ht="20.399999999999999" x14ac:dyDescent="0.3">
      <c r="A52" s="87"/>
      <c r="C52" s="141"/>
      <c r="D52" s="141"/>
    </row>
    <row r="53" spans="1:15" s="23" customFormat="1" ht="20.399999999999999" x14ac:dyDescent="0.3">
      <c r="A53" s="87"/>
      <c r="C53" s="141"/>
      <c r="D53" s="141"/>
    </row>
    <row r="54" spans="1:15" s="23" customFormat="1" ht="20.399999999999999" x14ac:dyDescent="0.3">
      <c r="A54" s="87"/>
      <c r="C54" s="141"/>
      <c r="D54" s="141"/>
    </row>
    <row r="55" spans="1:15" s="23" customFormat="1" ht="20.399999999999999" x14ac:dyDescent="0.3">
      <c r="A55" s="87"/>
      <c r="C55" s="141"/>
      <c r="D55" s="141"/>
    </row>
    <row r="56" spans="1:15" s="23" customFormat="1" ht="20.399999999999999" x14ac:dyDescent="0.3">
      <c r="A56" s="87"/>
      <c r="C56" s="141"/>
      <c r="D56" s="141"/>
    </row>
    <row r="57" spans="1:15" s="23" customFormat="1" ht="20.399999999999999" x14ac:dyDescent="0.3">
      <c r="A57" s="87"/>
      <c r="C57" s="141"/>
      <c r="D57" s="141"/>
    </row>
    <row r="58" spans="1:15" s="23" customFormat="1" ht="20.399999999999999" x14ac:dyDescent="0.3">
      <c r="A58" s="87"/>
      <c r="C58" s="141"/>
      <c r="D58" s="141"/>
    </row>
    <row r="59" spans="1:15" s="23" customFormat="1" ht="20.399999999999999" x14ac:dyDescent="0.3">
      <c r="A59" s="87"/>
      <c r="C59" s="141"/>
      <c r="D59" s="141"/>
    </row>
    <row r="60" spans="1:15" s="23" customFormat="1" ht="20.399999999999999" x14ac:dyDescent="0.3">
      <c r="A60" s="87"/>
      <c r="C60" s="141"/>
      <c r="D60" s="141"/>
    </row>
    <row r="61" spans="1:15" s="23" customFormat="1" ht="20.399999999999999" x14ac:dyDescent="0.3">
      <c r="A61" s="87"/>
      <c r="C61" s="141"/>
      <c r="D61" s="141"/>
    </row>
    <row r="62" spans="1:15" s="23" customFormat="1" ht="20.399999999999999" x14ac:dyDescent="0.3">
      <c r="A62" s="87"/>
      <c r="C62" s="141"/>
      <c r="D62" s="141"/>
    </row>
    <row r="63" spans="1:15" s="23" customFormat="1" ht="20.399999999999999" x14ac:dyDescent="0.3">
      <c r="A63" s="87"/>
      <c r="C63" s="141"/>
      <c r="D63" s="141"/>
    </row>
    <row r="64" spans="1:15" s="23" customFormat="1" ht="20.399999999999999" x14ac:dyDescent="0.3">
      <c r="A64" s="87"/>
      <c r="C64" s="141"/>
      <c r="D64" s="141"/>
    </row>
    <row r="65" spans="1:4" s="23" customFormat="1" ht="20.399999999999999" x14ac:dyDescent="0.3">
      <c r="A65" s="87"/>
      <c r="C65" s="141"/>
      <c r="D65" s="141"/>
    </row>
    <row r="66" spans="1:4" s="23" customFormat="1" ht="20.399999999999999" x14ac:dyDescent="0.3">
      <c r="A66" s="87"/>
      <c r="C66" s="141"/>
      <c r="D66" s="141"/>
    </row>
    <row r="67" spans="1:4" s="23" customFormat="1" ht="20.399999999999999" x14ac:dyDescent="0.3">
      <c r="A67" s="87"/>
      <c r="C67" s="141"/>
      <c r="D67" s="141"/>
    </row>
    <row r="68" spans="1:4" s="23" customFormat="1" ht="20.399999999999999" x14ac:dyDescent="0.3">
      <c r="A68" s="87"/>
      <c r="C68" s="141"/>
      <c r="D68" s="141"/>
    </row>
    <row r="69" spans="1:4" s="23" customFormat="1" ht="20.399999999999999" x14ac:dyDescent="0.3">
      <c r="A69" s="87"/>
      <c r="C69" s="141"/>
      <c r="D69" s="141"/>
    </row>
    <row r="70" spans="1:4" s="23" customFormat="1" ht="20.399999999999999" x14ac:dyDescent="0.3">
      <c r="A70" s="87"/>
      <c r="C70" s="141"/>
      <c r="D70" s="141"/>
    </row>
    <row r="71" spans="1:4" s="23" customFormat="1" ht="20.399999999999999" x14ac:dyDescent="0.3">
      <c r="A71" s="87"/>
      <c r="C71" s="141"/>
      <c r="D71" s="141"/>
    </row>
    <row r="72" spans="1:4" s="23" customFormat="1" ht="20.399999999999999" x14ac:dyDescent="0.3">
      <c r="A72" s="87"/>
      <c r="C72" s="141"/>
      <c r="D72" s="141"/>
    </row>
    <row r="73" spans="1:4" s="23" customFormat="1" ht="20.399999999999999" x14ac:dyDescent="0.3">
      <c r="A73" s="87"/>
      <c r="C73" s="141"/>
      <c r="D73" s="141"/>
    </row>
    <row r="74" spans="1:4" s="23" customFormat="1" ht="20.399999999999999" x14ac:dyDescent="0.3">
      <c r="A74" s="87"/>
      <c r="C74" s="141"/>
      <c r="D74" s="141"/>
    </row>
    <row r="75" spans="1:4" s="23" customFormat="1" ht="20.399999999999999" x14ac:dyDescent="0.3">
      <c r="A75" s="87"/>
      <c r="C75" s="141"/>
      <c r="D75" s="141"/>
    </row>
    <row r="76" spans="1:4" s="23" customFormat="1" ht="20.399999999999999" x14ac:dyDescent="0.3">
      <c r="A76" s="87"/>
      <c r="C76" s="141"/>
      <c r="D76" s="141"/>
    </row>
    <row r="77" spans="1:4" s="23" customFormat="1" ht="20.399999999999999" x14ac:dyDescent="0.3">
      <c r="A77" s="87"/>
      <c r="C77" s="141"/>
      <c r="D77" s="141"/>
    </row>
    <row r="78" spans="1:4" s="23" customFormat="1" ht="20.399999999999999" x14ac:dyDescent="0.3">
      <c r="A78" s="87"/>
      <c r="C78" s="141"/>
      <c r="D78" s="141"/>
    </row>
    <row r="79" spans="1:4" s="23" customFormat="1" ht="20.399999999999999" x14ac:dyDescent="0.3">
      <c r="A79" s="87"/>
      <c r="C79" s="141"/>
      <c r="D79" s="141"/>
    </row>
    <row r="80" spans="1:4" s="23" customFormat="1" ht="20.399999999999999" x14ac:dyDescent="0.3">
      <c r="A80" s="87"/>
      <c r="C80" s="141"/>
      <c r="D80" s="141"/>
    </row>
    <row r="81" spans="1:4" s="23" customFormat="1" ht="20.399999999999999" x14ac:dyDescent="0.3">
      <c r="A81" s="87"/>
      <c r="C81" s="141"/>
      <c r="D81" s="141"/>
    </row>
    <row r="82" spans="1:4" s="23" customFormat="1" ht="20.399999999999999" x14ac:dyDescent="0.3">
      <c r="A82" s="87"/>
      <c r="C82" s="141"/>
      <c r="D82" s="141"/>
    </row>
    <row r="83" spans="1:4" s="23" customFormat="1" ht="20.399999999999999" x14ac:dyDescent="0.3">
      <c r="A83" s="87"/>
      <c r="C83" s="141"/>
      <c r="D83" s="141"/>
    </row>
    <row r="84" spans="1:4" s="23" customFormat="1" ht="20.399999999999999" x14ac:dyDescent="0.3">
      <c r="A84" s="87"/>
      <c r="C84" s="141"/>
      <c r="D84" s="141"/>
    </row>
    <row r="85" spans="1:4" s="23" customFormat="1" ht="20.399999999999999" x14ac:dyDescent="0.3">
      <c r="A85" s="87"/>
      <c r="C85" s="141"/>
      <c r="D85" s="141"/>
    </row>
    <row r="86" spans="1:4" s="23" customFormat="1" ht="20.399999999999999" x14ac:dyDescent="0.3">
      <c r="A86" s="87"/>
      <c r="C86" s="141"/>
      <c r="D86" s="141"/>
    </row>
    <row r="87" spans="1:4" s="23" customFormat="1" ht="20.399999999999999" x14ac:dyDescent="0.3">
      <c r="A87" s="87"/>
      <c r="C87" s="141"/>
      <c r="D87" s="141"/>
    </row>
    <row r="88" spans="1:4" s="23" customFormat="1" ht="20.399999999999999" x14ac:dyDescent="0.3">
      <c r="A88" s="87"/>
      <c r="C88" s="141"/>
      <c r="D88" s="141"/>
    </row>
    <row r="89" spans="1:4" s="23" customFormat="1" ht="20.399999999999999" x14ac:dyDescent="0.3">
      <c r="A89" s="87"/>
      <c r="C89" s="141"/>
      <c r="D89" s="141"/>
    </row>
    <row r="90" spans="1:4" s="23" customFormat="1" ht="20.399999999999999" x14ac:dyDescent="0.3">
      <c r="A90" s="87"/>
      <c r="C90" s="141"/>
      <c r="D90" s="141"/>
    </row>
    <row r="91" spans="1:4" s="23" customFormat="1" ht="20.399999999999999" x14ac:dyDescent="0.3">
      <c r="A91" s="87"/>
      <c r="C91" s="141"/>
      <c r="D91" s="141"/>
    </row>
    <row r="92" spans="1:4" s="23" customFormat="1" ht="20.399999999999999" x14ac:dyDescent="0.3">
      <c r="A92" s="87"/>
      <c r="C92" s="141"/>
      <c r="D92" s="141"/>
    </row>
    <row r="93" spans="1:4" s="23" customFormat="1" ht="20.399999999999999" x14ac:dyDescent="0.3">
      <c r="A93" s="87"/>
      <c r="C93" s="141"/>
      <c r="D93" s="141"/>
    </row>
    <row r="94" spans="1:4" s="23" customFormat="1" ht="20.399999999999999" x14ac:dyDescent="0.3">
      <c r="A94" s="87"/>
      <c r="C94" s="141"/>
      <c r="D94" s="141"/>
    </row>
    <row r="95" spans="1:4" s="23" customFormat="1" ht="20.399999999999999" x14ac:dyDescent="0.3">
      <c r="A95" s="87"/>
      <c r="C95" s="141"/>
      <c r="D95" s="141"/>
    </row>
    <row r="96" spans="1:4" s="23" customFormat="1" ht="20.399999999999999" x14ac:dyDescent="0.3">
      <c r="A96" s="87"/>
      <c r="C96" s="141"/>
      <c r="D96" s="141"/>
    </row>
    <row r="97" spans="1:4" s="23" customFormat="1" ht="20.399999999999999" x14ac:dyDescent="0.3">
      <c r="A97" s="87"/>
      <c r="C97" s="141"/>
      <c r="D97" s="141"/>
    </row>
    <row r="98" spans="1:4" s="23" customFormat="1" ht="20.399999999999999" x14ac:dyDescent="0.3">
      <c r="A98" s="87"/>
      <c r="C98" s="141"/>
      <c r="D98" s="141"/>
    </row>
    <row r="99" spans="1:4" s="23" customFormat="1" ht="20.399999999999999" x14ac:dyDescent="0.3">
      <c r="A99" s="87"/>
      <c r="C99" s="141"/>
      <c r="D99" s="141"/>
    </row>
    <row r="100" spans="1:4" s="23" customFormat="1" ht="20.399999999999999" x14ac:dyDescent="0.3">
      <c r="A100" s="87"/>
      <c r="C100" s="141"/>
      <c r="D100" s="141"/>
    </row>
    <row r="101" spans="1:4" s="23" customFormat="1" ht="20.399999999999999" x14ac:dyDescent="0.3">
      <c r="A101" s="87"/>
      <c r="C101" s="141"/>
      <c r="D101" s="141"/>
    </row>
    <row r="102" spans="1:4" s="23" customFormat="1" ht="20.399999999999999" x14ac:dyDescent="0.3">
      <c r="A102" s="87"/>
      <c r="C102" s="141"/>
      <c r="D102" s="141"/>
    </row>
    <row r="103" spans="1:4" s="23" customFormat="1" ht="20.399999999999999" x14ac:dyDescent="0.3">
      <c r="A103" s="87"/>
      <c r="C103" s="141"/>
      <c r="D103" s="141"/>
    </row>
    <row r="104" spans="1:4" s="23" customFormat="1" ht="20.399999999999999" x14ac:dyDescent="0.3">
      <c r="A104" s="87"/>
      <c r="C104" s="141"/>
      <c r="D104" s="141"/>
    </row>
    <row r="105" spans="1:4" s="23" customFormat="1" ht="20.399999999999999" x14ac:dyDescent="0.3">
      <c r="A105" s="87"/>
      <c r="C105" s="141"/>
      <c r="D105" s="141"/>
    </row>
    <row r="106" spans="1:4" s="23" customFormat="1" ht="20.399999999999999" x14ac:dyDescent="0.3">
      <c r="A106" s="87"/>
      <c r="C106" s="141"/>
      <c r="D106" s="141"/>
    </row>
    <row r="107" spans="1:4" s="23" customFormat="1" ht="20.399999999999999" x14ac:dyDescent="0.3">
      <c r="A107" s="87"/>
      <c r="C107" s="141"/>
      <c r="D107" s="141"/>
    </row>
    <row r="108" spans="1:4" s="23" customFormat="1" ht="20.399999999999999" x14ac:dyDescent="0.3">
      <c r="A108" s="87"/>
      <c r="C108" s="141"/>
      <c r="D108" s="141"/>
    </row>
    <row r="109" spans="1:4" s="23" customFormat="1" ht="20.399999999999999" x14ac:dyDescent="0.3">
      <c r="A109" s="87"/>
      <c r="C109" s="141"/>
      <c r="D109" s="141"/>
    </row>
    <row r="110" spans="1:4" s="23" customFormat="1" ht="20.399999999999999" x14ac:dyDescent="0.3">
      <c r="A110" s="87"/>
      <c r="C110" s="141"/>
      <c r="D110" s="141"/>
    </row>
    <row r="111" spans="1:4" s="23" customFormat="1" ht="20.399999999999999" x14ac:dyDescent="0.3">
      <c r="A111" s="87"/>
      <c r="C111" s="141"/>
      <c r="D111" s="141"/>
    </row>
    <row r="112" spans="1:4" s="23" customFormat="1" ht="20.399999999999999" x14ac:dyDescent="0.3">
      <c r="A112" s="87"/>
      <c r="C112" s="141"/>
      <c r="D112" s="141"/>
    </row>
    <row r="113" spans="1:4" s="23" customFormat="1" ht="20.399999999999999" x14ac:dyDescent="0.3">
      <c r="A113" s="87"/>
      <c r="C113" s="141"/>
      <c r="D113" s="141"/>
    </row>
    <row r="114" spans="1:4" s="23" customFormat="1" ht="20.399999999999999" x14ac:dyDescent="0.3">
      <c r="A114" s="87"/>
      <c r="C114" s="141"/>
      <c r="D114" s="141"/>
    </row>
    <row r="115" spans="1:4" s="23" customFormat="1" ht="20.399999999999999" x14ac:dyDescent="0.3">
      <c r="A115" s="87"/>
      <c r="C115" s="141"/>
      <c r="D115" s="141"/>
    </row>
    <row r="116" spans="1:4" s="23" customFormat="1" ht="20.399999999999999" x14ac:dyDescent="0.3">
      <c r="A116" s="87"/>
      <c r="C116" s="141"/>
      <c r="D116" s="141"/>
    </row>
    <row r="117" spans="1:4" s="23" customFormat="1" ht="20.399999999999999" x14ac:dyDescent="0.3">
      <c r="A117" s="87"/>
      <c r="C117" s="141"/>
      <c r="D117" s="141"/>
    </row>
    <row r="118" spans="1:4" s="23" customFormat="1" ht="20.399999999999999" x14ac:dyDescent="0.3">
      <c r="A118" s="87"/>
      <c r="C118" s="141"/>
      <c r="D118" s="141"/>
    </row>
    <row r="119" spans="1:4" s="23" customFormat="1" ht="20.399999999999999" x14ac:dyDescent="0.3">
      <c r="A119" s="87"/>
      <c r="C119" s="141"/>
      <c r="D119" s="141"/>
    </row>
    <row r="120" spans="1:4" s="23" customFormat="1" ht="20.399999999999999" x14ac:dyDescent="0.3">
      <c r="A120" s="87"/>
      <c r="C120" s="141"/>
      <c r="D120" s="141"/>
    </row>
    <row r="121" spans="1:4" s="23" customFormat="1" ht="20.399999999999999" x14ac:dyDescent="0.3">
      <c r="A121" s="87"/>
      <c r="C121" s="141"/>
      <c r="D121" s="141"/>
    </row>
    <row r="122" spans="1:4" s="23" customFormat="1" ht="20.399999999999999" x14ac:dyDescent="0.3">
      <c r="A122" s="87"/>
      <c r="C122" s="141"/>
      <c r="D122" s="141"/>
    </row>
    <row r="123" spans="1:4" s="23" customFormat="1" ht="20.399999999999999" x14ac:dyDescent="0.3">
      <c r="A123" s="87"/>
      <c r="C123" s="141"/>
      <c r="D123" s="141"/>
    </row>
    <row r="124" spans="1:4" s="23" customFormat="1" ht="20.399999999999999" x14ac:dyDescent="0.3">
      <c r="A124" s="87"/>
      <c r="C124" s="141"/>
      <c r="D124" s="141"/>
    </row>
    <row r="125" spans="1:4" s="23" customFormat="1" ht="20.399999999999999" x14ac:dyDescent="0.3">
      <c r="A125" s="87"/>
      <c r="C125" s="141"/>
      <c r="D125" s="141"/>
    </row>
    <row r="126" spans="1:4" s="23" customFormat="1" ht="20.399999999999999" x14ac:dyDescent="0.3">
      <c r="A126" s="87"/>
      <c r="C126" s="141"/>
      <c r="D126" s="141"/>
    </row>
    <row r="127" spans="1:4" s="23" customFormat="1" ht="20.399999999999999" x14ac:dyDescent="0.3">
      <c r="A127" s="87"/>
      <c r="C127" s="141"/>
      <c r="D127" s="141"/>
    </row>
    <row r="128" spans="1:4" s="23" customFormat="1" ht="20.399999999999999" x14ac:dyDescent="0.3">
      <c r="A128" s="87"/>
      <c r="C128" s="141"/>
      <c r="D128" s="141"/>
    </row>
    <row r="129" spans="1:4" s="23" customFormat="1" ht="20.399999999999999" x14ac:dyDescent="0.3">
      <c r="A129" s="87"/>
      <c r="C129" s="141"/>
      <c r="D129" s="141"/>
    </row>
    <row r="130" spans="1:4" s="23" customFormat="1" ht="20.399999999999999" x14ac:dyDescent="0.3">
      <c r="A130" s="87"/>
      <c r="C130" s="141"/>
      <c r="D130" s="141"/>
    </row>
    <row r="131" spans="1:4" s="23" customFormat="1" ht="20.399999999999999" x14ac:dyDescent="0.3">
      <c r="A131" s="87"/>
      <c r="C131" s="141"/>
      <c r="D131" s="141"/>
    </row>
    <row r="132" spans="1:4" s="23" customFormat="1" ht="20.399999999999999" x14ac:dyDescent="0.3">
      <c r="A132" s="87"/>
      <c r="C132" s="141"/>
      <c r="D132" s="141"/>
    </row>
    <row r="133" spans="1:4" s="23" customFormat="1" ht="20.399999999999999" x14ac:dyDescent="0.3">
      <c r="A133" s="87"/>
      <c r="C133" s="141"/>
      <c r="D133" s="141"/>
    </row>
    <row r="134" spans="1:4" s="23" customFormat="1" ht="20.399999999999999" x14ac:dyDescent="0.3">
      <c r="A134" s="87"/>
      <c r="C134" s="141"/>
      <c r="D134" s="141"/>
    </row>
    <row r="135" spans="1:4" s="23" customFormat="1" ht="20.399999999999999" x14ac:dyDescent="0.3">
      <c r="A135" s="87"/>
      <c r="C135" s="141"/>
      <c r="D135" s="141"/>
    </row>
    <row r="136" spans="1:4" s="23" customFormat="1" ht="20.399999999999999" x14ac:dyDescent="0.3">
      <c r="A136" s="87"/>
      <c r="C136" s="141"/>
      <c r="D136" s="141"/>
    </row>
    <row r="137" spans="1:4" s="23" customFormat="1" ht="20.399999999999999" x14ac:dyDescent="0.3">
      <c r="A137" s="87"/>
      <c r="C137" s="141"/>
      <c r="D137" s="141"/>
    </row>
    <row r="138" spans="1:4" s="23" customFormat="1" ht="20.399999999999999" x14ac:dyDescent="0.3">
      <c r="A138" s="87"/>
      <c r="C138" s="141"/>
      <c r="D138" s="141"/>
    </row>
    <row r="139" spans="1:4" s="23" customFormat="1" ht="20.399999999999999" x14ac:dyDescent="0.3">
      <c r="A139" s="87"/>
      <c r="C139" s="141"/>
      <c r="D139" s="141"/>
    </row>
    <row r="140" spans="1:4" s="23" customFormat="1" ht="20.399999999999999" x14ac:dyDescent="0.3">
      <c r="A140" s="87"/>
      <c r="C140" s="141"/>
      <c r="D140" s="141"/>
    </row>
    <row r="141" spans="1:4" s="23" customFormat="1" ht="20.399999999999999" x14ac:dyDescent="0.3">
      <c r="A141" s="87"/>
      <c r="C141" s="141"/>
      <c r="D141" s="141"/>
    </row>
    <row r="142" spans="1:4" s="23" customFormat="1" ht="20.399999999999999" x14ac:dyDescent="0.3">
      <c r="A142" s="87"/>
      <c r="C142" s="141"/>
      <c r="D142" s="141"/>
    </row>
    <row r="143" spans="1:4" s="23" customFormat="1" ht="20.399999999999999" x14ac:dyDescent="0.3">
      <c r="A143" s="87"/>
      <c r="C143" s="141"/>
      <c r="D143" s="141"/>
    </row>
    <row r="144" spans="1:4" s="23" customFormat="1" ht="20.399999999999999" x14ac:dyDescent="0.3">
      <c r="A144" s="87"/>
      <c r="C144" s="141"/>
      <c r="D144" s="141"/>
    </row>
    <row r="145" spans="1:4" s="23" customFormat="1" ht="20.399999999999999" x14ac:dyDescent="0.3">
      <c r="A145" s="87"/>
      <c r="C145" s="141"/>
      <c r="D145" s="141"/>
    </row>
    <row r="146" spans="1:4" s="23" customFormat="1" ht="20.399999999999999" x14ac:dyDescent="0.3">
      <c r="A146" s="87"/>
      <c r="C146" s="141"/>
      <c r="D146" s="141"/>
    </row>
    <row r="147" spans="1:4" s="23" customFormat="1" ht="20.399999999999999" x14ac:dyDescent="0.3">
      <c r="A147" s="87"/>
      <c r="C147" s="141"/>
      <c r="D147" s="141"/>
    </row>
    <row r="148" spans="1:4" s="23" customFormat="1" ht="20.399999999999999" x14ac:dyDescent="0.3">
      <c r="A148" s="87"/>
      <c r="C148" s="141"/>
      <c r="D148" s="141"/>
    </row>
    <row r="149" spans="1:4" s="23" customFormat="1" ht="20.399999999999999" x14ac:dyDescent="0.3">
      <c r="A149" s="87"/>
      <c r="C149" s="141"/>
      <c r="D149" s="141"/>
    </row>
    <row r="150" spans="1:4" s="23" customFormat="1" ht="20.399999999999999" x14ac:dyDescent="0.3">
      <c r="A150" s="87"/>
      <c r="C150" s="141"/>
      <c r="D150" s="141"/>
    </row>
    <row r="151" spans="1:4" s="23" customFormat="1" ht="20.399999999999999" x14ac:dyDescent="0.3">
      <c r="A151" s="87"/>
      <c r="C151" s="141"/>
      <c r="D151" s="141"/>
    </row>
    <row r="152" spans="1:4" s="23" customFormat="1" ht="20.399999999999999" x14ac:dyDescent="0.3">
      <c r="A152" s="87"/>
      <c r="C152" s="141"/>
      <c r="D152" s="141"/>
    </row>
    <row r="153" spans="1:4" s="23" customFormat="1" ht="20.399999999999999" x14ac:dyDescent="0.3">
      <c r="A153" s="87"/>
      <c r="C153" s="141"/>
      <c r="D153" s="141"/>
    </row>
    <row r="154" spans="1:4" s="23" customFormat="1" ht="20.399999999999999" x14ac:dyDescent="0.3">
      <c r="A154" s="87"/>
      <c r="C154" s="141"/>
      <c r="D154" s="141"/>
    </row>
    <row r="155" spans="1:4" s="23" customFormat="1" ht="20.399999999999999" x14ac:dyDescent="0.3">
      <c r="A155" s="87"/>
      <c r="C155" s="141"/>
      <c r="D155" s="141"/>
    </row>
    <row r="156" spans="1:4" s="23" customFormat="1" ht="20.399999999999999" x14ac:dyDescent="0.3">
      <c r="A156" s="87"/>
      <c r="C156" s="141"/>
      <c r="D156" s="141"/>
    </row>
    <row r="157" spans="1:4" s="23" customFormat="1" ht="20.399999999999999" x14ac:dyDescent="0.3">
      <c r="A157" s="87"/>
      <c r="C157" s="141"/>
      <c r="D157" s="141"/>
    </row>
    <row r="158" spans="1:4" s="23" customFormat="1" ht="20.399999999999999" x14ac:dyDescent="0.3">
      <c r="A158" s="87"/>
      <c r="C158" s="141"/>
      <c r="D158" s="141"/>
    </row>
    <row r="159" spans="1:4" s="23" customFormat="1" ht="20.399999999999999" x14ac:dyDescent="0.3">
      <c r="A159" s="87"/>
      <c r="C159" s="141"/>
      <c r="D159" s="141"/>
    </row>
    <row r="160" spans="1:4" s="23" customFormat="1" ht="20.399999999999999" x14ac:dyDescent="0.3">
      <c r="A160" s="87"/>
      <c r="C160" s="141"/>
      <c r="D160" s="141"/>
    </row>
    <row r="161" spans="1:4" s="23" customFormat="1" ht="20.399999999999999" x14ac:dyDescent="0.3">
      <c r="A161" s="87"/>
      <c r="C161" s="141"/>
      <c r="D161" s="141"/>
    </row>
    <row r="162" spans="1:4" s="23" customFormat="1" ht="20.399999999999999" x14ac:dyDescent="0.3">
      <c r="A162" s="87"/>
      <c r="C162" s="141"/>
      <c r="D162" s="141"/>
    </row>
    <row r="163" spans="1:4" s="23" customFormat="1" ht="20.399999999999999" x14ac:dyDescent="0.3">
      <c r="A163" s="87"/>
      <c r="C163" s="141"/>
      <c r="D163" s="141"/>
    </row>
    <row r="164" spans="1:4" s="23" customFormat="1" ht="20.399999999999999" x14ac:dyDescent="0.3">
      <c r="A164" s="87"/>
      <c r="C164" s="141"/>
      <c r="D164" s="141"/>
    </row>
    <row r="165" spans="1:4" s="23" customFormat="1" ht="20.399999999999999" x14ac:dyDescent="0.3">
      <c r="A165" s="87"/>
      <c r="C165" s="141"/>
      <c r="D165" s="141"/>
    </row>
    <row r="166" spans="1:4" s="23" customFormat="1" ht="20.399999999999999" x14ac:dyDescent="0.3">
      <c r="A166" s="87"/>
      <c r="C166" s="141"/>
      <c r="D166" s="141"/>
    </row>
    <row r="167" spans="1:4" s="23" customFormat="1" ht="20.399999999999999" x14ac:dyDescent="0.3">
      <c r="A167" s="87"/>
      <c r="C167" s="141"/>
      <c r="D167" s="141"/>
    </row>
    <row r="168" spans="1:4" s="23" customFormat="1" ht="20.399999999999999" x14ac:dyDescent="0.3">
      <c r="A168" s="87"/>
      <c r="C168" s="141"/>
      <c r="D168" s="141"/>
    </row>
    <row r="169" spans="1:4" s="23" customFormat="1" ht="20.399999999999999" x14ac:dyDescent="0.3">
      <c r="A169" s="87"/>
      <c r="C169" s="141"/>
      <c r="D169" s="141"/>
    </row>
    <row r="170" spans="1:4" s="23" customFormat="1" ht="20.399999999999999" x14ac:dyDescent="0.3">
      <c r="A170" s="87"/>
      <c r="C170" s="141"/>
      <c r="D170" s="141"/>
    </row>
    <row r="171" spans="1:4" s="23" customFormat="1" ht="20.399999999999999" x14ac:dyDescent="0.3">
      <c r="A171" s="87"/>
      <c r="C171" s="141"/>
      <c r="D171" s="141"/>
    </row>
    <row r="172" spans="1:4" s="23" customFormat="1" ht="20.399999999999999" x14ac:dyDescent="0.3">
      <c r="A172" s="87"/>
      <c r="C172" s="141"/>
      <c r="D172" s="141"/>
    </row>
    <row r="173" spans="1:4" s="23" customFormat="1" ht="20.399999999999999" x14ac:dyDescent="0.3">
      <c r="A173" s="87"/>
      <c r="C173" s="141"/>
      <c r="D173" s="141"/>
    </row>
    <row r="174" spans="1:4" s="23" customFormat="1" ht="20.399999999999999" x14ac:dyDescent="0.3">
      <c r="A174" s="87"/>
      <c r="C174" s="141"/>
      <c r="D174" s="141"/>
    </row>
    <row r="175" spans="1:4" s="23" customFormat="1" ht="20.399999999999999" x14ac:dyDescent="0.3">
      <c r="A175" s="87"/>
      <c r="C175" s="141"/>
      <c r="D175" s="141"/>
    </row>
    <row r="176" spans="1:4" s="23" customFormat="1" ht="20.399999999999999" x14ac:dyDescent="0.3">
      <c r="A176" s="87"/>
      <c r="C176" s="141"/>
      <c r="D176" s="141"/>
    </row>
    <row r="177" spans="1:4" s="23" customFormat="1" ht="20.399999999999999" x14ac:dyDescent="0.3">
      <c r="A177" s="87"/>
      <c r="C177" s="141"/>
      <c r="D177" s="141"/>
    </row>
    <row r="178" spans="1:4" s="23" customFormat="1" ht="20.399999999999999" x14ac:dyDescent="0.3">
      <c r="A178" s="87"/>
      <c r="C178" s="141"/>
      <c r="D178" s="141"/>
    </row>
    <row r="179" spans="1:4" s="23" customFormat="1" ht="20.399999999999999" x14ac:dyDescent="0.3">
      <c r="A179" s="87"/>
      <c r="C179" s="141"/>
      <c r="D179" s="141"/>
    </row>
    <row r="180" spans="1:4" s="23" customFormat="1" ht="20.399999999999999" x14ac:dyDescent="0.3">
      <c r="A180" s="87"/>
      <c r="C180" s="141"/>
      <c r="D180" s="141"/>
    </row>
    <row r="181" spans="1:4" s="23" customFormat="1" ht="20.399999999999999" x14ac:dyDescent="0.3">
      <c r="A181" s="87"/>
      <c r="C181" s="141"/>
      <c r="D181" s="141"/>
    </row>
    <row r="182" spans="1:4" s="23" customFormat="1" ht="20.399999999999999" x14ac:dyDescent="0.3">
      <c r="A182" s="87"/>
      <c r="C182" s="141"/>
      <c r="D182" s="141"/>
    </row>
    <row r="183" spans="1:4" s="23" customFormat="1" ht="20.399999999999999" x14ac:dyDescent="0.3">
      <c r="A183" s="87"/>
      <c r="C183" s="141"/>
      <c r="D183" s="141"/>
    </row>
    <row r="184" spans="1:4" s="23" customFormat="1" ht="20.399999999999999" x14ac:dyDescent="0.3">
      <c r="A184" s="87"/>
      <c r="C184" s="141"/>
      <c r="D184" s="141"/>
    </row>
    <row r="185" spans="1:4" s="23" customFormat="1" ht="20.399999999999999" x14ac:dyDescent="0.3">
      <c r="A185" s="87"/>
      <c r="C185" s="141"/>
      <c r="D185" s="141"/>
    </row>
    <row r="186" spans="1:4" s="23" customFormat="1" ht="20.399999999999999" x14ac:dyDescent="0.3">
      <c r="A186" s="87"/>
      <c r="C186" s="141"/>
      <c r="D186" s="141"/>
    </row>
    <row r="187" spans="1:4" s="23" customFormat="1" ht="20.399999999999999" x14ac:dyDescent="0.3">
      <c r="A187" s="87"/>
      <c r="C187" s="141"/>
      <c r="D187" s="141"/>
    </row>
    <row r="188" spans="1:4" s="23" customFormat="1" ht="20.399999999999999" x14ac:dyDescent="0.3">
      <c r="A188" s="87"/>
      <c r="C188" s="141"/>
      <c r="D188" s="141"/>
    </row>
    <row r="189" spans="1:4" s="23" customFormat="1" ht="20.399999999999999" x14ac:dyDescent="0.3">
      <c r="A189" s="87"/>
      <c r="C189" s="141"/>
      <c r="D189" s="141"/>
    </row>
    <row r="190" spans="1:4" s="23" customFormat="1" ht="20.399999999999999" x14ac:dyDescent="0.3">
      <c r="A190" s="87"/>
      <c r="C190" s="141"/>
      <c r="D190" s="141"/>
    </row>
    <row r="191" spans="1:4" s="23" customFormat="1" ht="20.399999999999999" x14ac:dyDescent="0.3">
      <c r="A191" s="87"/>
      <c r="C191" s="141"/>
      <c r="D191" s="141"/>
    </row>
    <row r="192" spans="1:4" s="23" customFormat="1" ht="20.399999999999999" x14ac:dyDescent="0.3">
      <c r="A192" s="87"/>
      <c r="C192" s="141"/>
      <c r="D192" s="141"/>
    </row>
    <row r="193" spans="1:4" s="23" customFormat="1" ht="20.399999999999999" x14ac:dyDescent="0.3">
      <c r="A193" s="87"/>
      <c r="C193" s="141"/>
      <c r="D193" s="141"/>
    </row>
    <row r="194" spans="1:4" s="23" customFormat="1" ht="20.399999999999999" x14ac:dyDescent="0.3">
      <c r="A194" s="87"/>
      <c r="C194" s="141"/>
      <c r="D194" s="141"/>
    </row>
    <row r="195" spans="1:4" s="23" customFormat="1" ht="20.399999999999999" x14ac:dyDescent="0.3">
      <c r="A195" s="87"/>
      <c r="C195" s="141"/>
      <c r="D195" s="141"/>
    </row>
    <row r="196" spans="1:4" s="23" customFormat="1" ht="20.399999999999999" x14ac:dyDescent="0.3">
      <c r="A196" s="87"/>
      <c r="C196" s="141"/>
      <c r="D196" s="141"/>
    </row>
    <row r="197" spans="1:4" s="23" customFormat="1" ht="20.399999999999999" x14ac:dyDescent="0.3">
      <c r="A197" s="87"/>
      <c r="C197" s="141"/>
      <c r="D197" s="141"/>
    </row>
    <row r="198" spans="1:4" s="23" customFormat="1" ht="20.399999999999999" x14ac:dyDescent="0.3">
      <c r="A198" s="87"/>
      <c r="C198" s="141"/>
      <c r="D198" s="141"/>
    </row>
    <row r="199" spans="1:4" s="23" customFormat="1" ht="20.399999999999999" x14ac:dyDescent="0.3">
      <c r="A199" s="87"/>
      <c r="C199" s="141"/>
      <c r="D199" s="141"/>
    </row>
    <row r="200" spans="1:4" s="23" customFormat="1" ht="20.399999999999999" x14ac:dyDescent="0.3">
      <c r="A200" s="87"/>
      <c r="C200" s="141"/>
      <c r="D200" s="141"/>
    </row>
    <row r="201" spans="1:4" s="23" customFormat="1" ht="20.399999999999999" x14ac:dyDescent="0.3">
      <c r="A201" s="87"/>
      <c r="C201" s="141"/>
      <c r="D201" s="141"/>
    </row>
    <row r="202" spans="1:4" s="23" customFormat="1" ht="20.399999999999999" x14ac:dyDescent="0.3">
      <c r="A202" s="87"/>
      <c r="C202" s="141"/>
      <c r="D202" s="141"/>
    </row>
    <row r="203" spans="1:4" s="23" customFormat="1" ht="20.399999999999999" x14ac:dyDescent="0.3">
      <c r="A203" s="87"/>
      <c r="C203" s="141"/>
      <c r="D203" s="141"/>
    </row>
    <row r="204" spans="1:4" s="23" customFormat="1" ht="20.399999999999999" x14ac:dyDescent="0.3">
      <c r="A204" s="87"/>
      <c r="C204" s="141"/>
      <c r="D204" s="141"/>
    </row>
    <row r="205" spans="1:4" s="23" customFormat="1" ht="20.399999999999999" x14ac:dyDescent="0.3">
      <c r="A205" s="87"/>
      <c r="C205" s="141"/>
      <c r="D205" s="141"/>
    </row>
    <row r="206" spans="1:4" s="23" customFormat="1" ht="20.399999999999999" x14ac:dyDescent="0.3">
      <c r="A206" s="87"/>
      <c r="C206" s="141"/>
      <c r="D206" s="141"/>
    </row>
    <row r="207" spans="1:4" s="23" customFormat="1" ht="20.399999999999999" x14ac:dyDescent="0.3">
      <c r="A207" s="87"/>
      <c r="C207" s="141"/>
      <c r="D207" s="141"/>
    </row>
    <row r="208" spans="1:4" s="23" customFormat="1" x14ac:dyDescent="0.3">
      <c r="A208" s="87"/>
    </row>
    <row r="209" spans="1:8" s="23" customFormat="1" ht="20.399999999999999" x14ac:dyDescent="0.3">
      <c r="A209" s="87"/>
      <c r="B209" s="142" t="s">
        <v>87</v>
      </c>
      <c r="C209" s="142" t="s">
        <v>140</v>
      </c>
      <c r="D209" s="143" t="s">
        <v>87</v>
      </c>
      <c r="E209" s="143" t="s">
        <v>140</v>
      </c>
    </row>
    <row r="210" spans="1:8" s="23" customFormat="1" ht="42" x14ac:dyDescent="0.4">
      <c r="A210" s="87"/>
      <c r="B210" s="144" t="s">
        <v>89</v>
      </c>
      <c r="C210" s="144" t="s">
        <v>205</v>
      </c>
      <c r="D210" s="23" t="s">
        <v>89</v>
      </c>
      <c r="F210" s="23" t="str">
        <f>IF(NOT(ISBLANK(D210)),D210,IF(NOT(ISBLANK(E210)),"     "&amp;E210,FALSE))</f>
        <v>Afectación Económica o presupuestal</v>
      </c>
      <c r="G210" s="23" t="s">
        <v>89</v>
      </c>
      <c r="H210" s="23" t="str">
        <f>IF(NOT(ISERROR(MATCH(G210,_xlfn.ANCHORARRAY(B221),0))),F223&amp;"Por favor no seleccionar los criterios de impacto",G210)</f>
        <v>❌Por favor no seleccionar los criterios de impacto</v>
      </c>
    </row>
    <row r="211" spans="1:8" s="23" customFormat="1" ht="42" x14ac:dyDescent="0.4">
      <c r="A211" s="87"/>
      <c r="B211" s="144" t="s">
        <v>89</v>
      </c>
      <c r="C211" s="144" t="s">
        <v>206</v>
      </c>
      <c r="E211" s="23" t="s">
        <v>205</v>
      </c>
      <c r="F211" s="23" t="str">
        <f t="shared" ref="F211:F221" si="0">IF(NOT(ISBLANK(D211)),D211,IF(NOT(ISBLANK(E211)),"     "&amp;E211,FALSE))</f>
        <v xml:space="preserve">     Afectación menor a 200 SMLMV</v>
      </c>
    </row>
    <row r="212" spans="1:8" s="23" customFormat="1" ht="42" x14ac:dyDescent="0.4">
      <c r="A212" s="87"/>
      <c r="B212" s="144" t="s">
        <v>89</v>
      </c>
      <c r="C212" s="144" t="s">
        <v>210</v>
      </c>
      <c r="E212" s="23" t="s">
        <v>206</v>
      </c>
      <c r="F212" s="23" t="str">
        <f t="shared" si="0"/>
        <v xml:space="preserve">     Entre 200 y 1000 SMLMV</v>
      </c>
    </row>
    <row r="213" spans="1:8" s="23" customFormat="1" ht="42" x14ac:dyDescent="0.4">
      <c r="A213" s="87"/>
      <c r="B213" s="144" t="s">
        <v>89</v>
      </c>
      <c r="C213" s="144" t="s">
        <v>211</v>
      </c>
      <c r="E213" s="23" t="s">
        <v>210</v>
      </c>
      <c r="F213" s="23" t="str">
        <f t="shared" si="0"/>
        <v xml:space="preserve">     Entre 1000 y 5000 SMLMV </v>
      </c>
    </row>
    <row r="214" spans="1:8" s="23" customFormat="1" ht="42" x14ac:dyDescent="0.4">
      <c r="A214" s="87"/>
      <c r="B214" s="144" t="s">
        <v>89</v>
      </c>
      <c r="C214" s="144" t="s">
        <v>207</v>
      </c>
      <c r="E214" s="23" t="s">
        <v>211</v>
      </c>
      <c r="F214" s="23" t="str">
        <f t="shared" si="0"/>
        <v xml:space="preserve">     Entre 5000 y 10000 SMLMV</v>
      </c>
    </row>
    <row r="215" spans="1:8" s="23" customFormat="1" ht="21" x14ac:dyDescent="0.4">
      <c r="A215" s="87"/>
      <c r="B215" s="144" t="s">
        <v>57</v>
      </c>
      <c r="C215" s="144" t="s">
        <v>92</v>
      </c>
      <c r="E215" s="23" t="s">
        <v>207</v>
      </c>
      <c r="F215" s="23" t="str">
        <f t="shared" si="0"/>
        <v xml:space="preserve">     Mayor a 10000 SMLMV</v>
      </c>
    </row>
    <row r="216" spans="1:8" s="23" customFormat="1" ht="63" x14ac:dyDescent="0.4">
      <c r="A216" s="87"/>
      <c r="B216" s="144" t="s">
        <v>57</v>
      </c>
      <c r="C216" s="144" t="s">
        <v>93</v>
      </c>
      <c r="D216" s="23" t="s">
        <v>57</v>
      </c>
      <c r="F216" s="23" t="str">
        <f t="shared" si="0"/>
        <v>Pérdida Reputacional</v>
      </c>
    </row>
    <row r="217" spans="1:8" s="23" customFormat="1" ht="42" x14ac:dyDescent="0.4">
      <c r="A217" s="87"/>
      <c r="B217" s="144" t="s">
        <v>57</v>
      </c>
      <c r="C217" s="144" t="s">
        <v>95</v>
      </c>
      <c r="E217" s="23" t="s">
        <v>92</v>
      </c>
      <c r="F217" s="23" t="str">
        <f>IF(NOT(ISBLANK(D217)),D217,IF(NOT(ISBLANK(E217)),"     "&amp;E217,FALSE))</f>
        <v xml:space="preserve">     El riesgo afecta la imagen de alguna área de la organización</v>
      </c>
    </row>
    <row r="218" spans="1:8" s="23" customFormat="1" ht="63" x14ac:dyDescent="0.4">
      <c r="A218" s="87"/>
      <c r="B218" s="144" t="s">
        <v>57</v>
      </c>
      <c r="C218" s="144" t="s">
        <v>94</v>
      </c>
      <c r="E218" s="23" t="s">
        <v>93</v>
      </c>
      <c r="F218" s="23" t="str">
        <f t="shared" si="0"/>
        <v xml:space="preserve">     El riesgo afecta la imagen de la entidad internamente, de conocimiento general, nivel interno, de junta dircetiva y accionistas y/o de provedores</v>
      </c>
    </row>
    <row r="219" spans="1:8" s="23" customFormat="1" ht="42" x14ac:dyDescent="0.4">
      <c r="A219" s="87"/>
      <c r="B219" s="144" t="s">
        <v>57</v>
      </c>
      <c r="C219" s="144" t="s">
        <v>113</v>
      </c>
      <c r="E219" s="23" t="s">
        <v>95</v>
      </c>
      <c r="F219" s="23" t="str">
        <f t="shared" si="0"/>
        <v xml:space="preserve">     El riesgo afecta la imagen de la entidad con algunos usuarios de relevancia frente al logro de los objetivos</v>
      </c>
    </row>
    <row r="220" spans="1:8" s="23" customFormat="1" x14ac:dyDescent="0.3">
      <c r="A220" s="87"/>
      <c r="E220" s="23" t="s">
        <v>94</v>
      </c>
      <c r="F220" s="23" t="str">
        <f t="shared" si="0"/>
        <v xml:space="preserve">     El riesgo afecta la imagen de de la entidad con efecto publicitario sostenido a nivel de sector administrativo, nivel departamental o municipal</v>
      </c>
    </row>
    <row r="221" spans="1:8" s="23" customFormat="1" x14ac:dyDescent="0.3">
      <c r="A221" s="87"/>
      <c r="B221" s="23" t="str" cm="1">
        <f t="array" ref="B221:B223">_xlfn.UNIQUE(Tabla1[[#All],[Criterios]])</f>
        <v>Criterios</v>
      </c>
      <c r="E221" s="23" t="s">
        <v>113</v>
      </c>
      <c r="F221" s="23" t="str">
        <f t="shared" si="0"/>
        <v xml:space="preserve">     El riesgo afecta la imagen de la entidad a nivel nacional, con efecto publicitarios sostenible a nivel país</v>
      </c>
    </row>
    <row r="222" spans="1:8" s="23" customFormat="1" x14ac:dyDescent="0.3">
      <c r="A222" s="87"/>
      <c r="B222" s="23" t="str">
        <v>Afectación Económica o presupuestal</v>
      </c>
    </row>
    <row r="223" spans="1:8" s="23" customFormat="1" x14ac:dyDescent="0.3">
      <c r="B223" s="23" t="str">
        <v>Pérdida Reputacional</v>
      </c>
      <c r="F223" s="145" t="s">
        <v>141</v>
      </c>
    </row>
    <row r="224" spans="1:8" s="23" customFormat="1" x14ac:dyDescent="0.3">
      <c r="F224" s="145" t="s">
        <v>142</v>
      </c>
    </row>
  </sheetData>
  <mergeCells count="1">
    <mergeCell ref="B1:D1"/>
  </mergeCells>
  <dataValidations disablePrompts="1" count="1">
    <dataValidation type="list" allowBlank="1" showInputMessage="1" showErrorMessage="1" sqref="G210" xr:uid="{00000000-0002-0000-0800-000000000000}">
      <formula1>$F$210:$F$221</formula1>
    </dataValidation>
  </dataValidations>
  <pageMargins left="0.7" right="0.7" top="0.75" bottom="0.75" header="0.3" footer="0.3"/>
  <pageSetup orientation="portrait"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Intructivo</vt:lpstr>
      <vt:lpstr>Contexto</vt:lpstr>
      <vt:lpstr>Priorizacion de Causas</vt:lpstr>
      <vt:lpstr>DOFA</vt:lpstr>
      <vt:lpstr>Mapa final</vt:lpstr>
      <vt:lpstr>Matriz Calor Inherente</vt:lpstr>
      <vt:lpstr>Matriz Calor Residual</vt:lpstr>
      <vt:lpstr>Tabla probabilidad</vt:lpstr>
      <vt:lpstr>Tabla Impacto</vt:lpstr>
      <vt:lpstr>Tabla Valoración controles</vt:lpstr>
      <vt:lpstr>Hoja2</vt:lpstr>
      <vt:lpstr>Hoja3</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Eduardo Hernandez Huepa</cp:lastModifiedBy>
  <cp:lastPrinted>2020-05-13T01:12:22Z</cp:lastPrinted>
  <dcterms:created xsi:type="dcterms:W3CDTF">2020-03-24T23:12:47Z</dcterms:created>
  <dcterms:modified xsi:type="dcterms:W3CDTF">2025-05-26T13:36:32Z</dcterms:modified>
</cp:coreProperties>
</file>